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10.10.2.35\Public\Dữ liệu kế toán\Năm 2026\TRẦN THU PHƯƠNG 2026\BÁO CÁO TÀI CHÍNH\File nộp báo cáo tỷ lệ ATTC\"/>
    </mc:Choice>
  </mc:AlternateContent>
  <bookViews>
    <workbookView xWindow="28680" yWindow="-120" windowWidth="29040" windowHeight="15840" activeTab="8"/>
  </bookViews>
  <sheets>
    <sheet name="Trang bìa" sheetId="1" r:id="rId1"/>
    <sheet name="Setting" sheetId="2" state="hidden" r:id="rId2"/>
    <sheet name="I_06H01" sheetId="3" r:id="rId3"/>
    <sheet name="8761_hidden" sheetId="4" state="hidden" r:id="rId4"/>
    <sheet name="II_06H02" sheetId="5" r:id="rId5"/>
    <sheet name="8767_hidden" sheetId="6" state="hidden" r:id="rId6"/>
    <sheet name="III_06H03" sheetId="7" r:id="rId7"/>
    <sheet name="8764_hidden" sheetId="8" state="hidden" r:id="rId8"/>
    <sheet name="IV_06H04" sheetId="9" r:id="rId9"/>
    <sheet name="8768_hidden" sheetId="10" state="hidden" r:id="rId10"/>
    <sheet name="V_06H05" sheetId="11" r:id="rId11"/>
    <sheet name="8769_hidden" sheetId="12" state="hidden" r:id="rId12"/>
    <sheet name="X_06H09" sheetId="13" r:id="rId13"/>
    <sheet name="8763_hidden" sheetId="14" state="hidden" r:id="rId14"/>
    <sheet name="VI_06H06" sheetId="15" r:id="rId15"/>
    <sheet name="8766_hidden" sheetId="16" state="hidden" r:id="rId16"/>
    <sheet name="VII_06H07" sheetId="17" r:id="rId17"/>
    <sheet name="8770_hidden" sheetId="18" state="hidden" r:id="rId18"/>
    <sheet name="VIII_06H08" sheetId="19" r:id="rId19"/>
    <sheet name="8762_hidden" sheetId="20" state="hidden" r:id="rId2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20" l="1"/>
  <c r="D8" i="20"/>
  <c r="C8" i="20"/>
  <c r="B8" i="20"/>
  <c r="A8" i="20"/>
  <c r="E7" i="20"/>
  <c r="D7" i="20"/>
  <c r="C7" i="20"/>
  <c r="B7" i="20"/>
  <c r="A7" i="20"/>
  <c r="E6" i="20"/>
  <c r="D6" i="20"/>
  <c r="C6" i="20"/>
  <c r="B6" i="20"/>
  <c r="A6" i="20"/>
  <c r="E5" i="20"/>
  <c r="D5" i="20"/>
  <c r="C5" i="20"/>
  <c r="B5" i="20"/>
  <c r="A5" i="20"/>
  <c r="E4" i="20"/>
  <c r="D4" i="20"/>
  <c r="C4" i="20"/>
  <c r="B4" i="20"/>
  <c r="A4" i="20"/>
  <c r="E3" i="20"/>
  <c r="D3" i="20"/>
  <c r="C3" i="20"/>
  <c r="B3" i="20"/>
  <c r="A3" i="20"/>
  <c r="C20" i="18"/>
  <c r="B20" i="18"/>
  <c r="A20" i="18"/>
  <c r="C19" i="18"/>
  <c r="B19" i="18"/>
  <c r="A19" i="18"/>
  <c r="C18" i="18"/>
  <c r="B18" i="18"/>
  <c r="A18" i="18"/>
  <c r="C17" i="18"/>
  <c r="B17" i="18"/>
  <c r="A17" i="18"/>
  <c r="C16" i="18"/>
  <c r="B16" i="18"/>
  <c r="A16" i="18"/>
  <c r="C15" i="18"/>
  <c r="B15" i="18"/>
  <c r="A15" i="18"/>
  <c r="C14" i="18"/>
  <c r="B14" i="18"/>
  <c r="A14" i="18"/>
  <c r="C13" i="18"/>
  <c r="B13" i="18"/>
  <c r="A13" i="18"/>
  <c r="C12" i="18"/>
  <c r="B12" i="18"/>
  <c r="A12" i="18"/>
  <c r="C11" i="18"/>
  <c r="B11" i="18"/>
  <c r="A11" i="18"/>
  <c r="C10" i="18"/>
  <c r="B10" i="18"/>
  <c r="A10" i="18"/>
  <c r="C9" i="18"/>
  <c r="B9" i="18"/>
  <c r="A9" i="18"/>
  <c r="C8" i="18"/>
  <c r="B8" i="18"/>
  <c r="A8" i="18"/>
  <c r="C7" i="18"/>
  <c r="B7" i="18"/>
  <c r="A7" i="18"/>
  <c r="C6" i="18"/>
  <c r="B6" i="18"/>
  <c r="A6" i="18"/>
  <c r="C5" i="18"/>
  <c r="B5" i="18"/>
  <c r="A5" i="18"/>
  <c r="C4" i="18"/>
  <c r="B4" i="18"/>
  <c r="A4" i="18"/>
  <c r="E5" i="16"/>
  <c r="D5" i="16"/>
  <c r="C5" i="16"/>
  <c r="B5" i="16"/>
  <c r="A5" i="16"/>
  <c r="E4" i="16"/>
  <c r="D4" i="16"/>
  <c r="C4" i="16"/>
  <c r="B4" i="16"/>
  <c r="A4" i="16"/>
  <c r="E11" i="14"/>
  <c r="D11" i="14"/>
  <c r="C11" i="14"/>
  <c r="B11" i="14"/>
  <c r="A11" i="14"/>
  <c r="E10" i="14"/>
  <c r="D10" i="14"/>
  <c r="C10" i="14"/>
  <c r="B10" i="14"/>
  <c r="A10" i="14"/>
  <c r="E9" i="14"/>
  <c r="D9" i="14"/>
  <c r="C9" i="14"/>
  <c r="B9" i="14"/>
  <c r="A9" i="14"/>
  <c r="E8" i="14"/>
  <c r="D8" i="14"/>
  <c r="C8" i="14"/>
  <c r="B8" i="14"/>
  <c r="A8" i="14"/>
  <c r="E7" i="14"/>
  <c r="D7" i="14"/>
  <c r="C7" i="14"/>
  <c r="B7" i="14"/>
  <c r="A7" i="14"/>
  <c r="E6" i="14"/>
  <c r="D6" i="14"/>
  <c r="C6" i="14"/>
  <c r="B6" i="14"/>
  <c r="A6" i="14"/>
  <c r="E5" i="14"/>
  <c r="D5" i="14"/>
  <c r="C5" i="14"/>
  <c r="B5" i="14"/>
  <c r="A5" i="14"/>
  <c r="E4" i="14"/>
  <c r="D4" i="14"/>
  <c r="C4" i="14"/>
  <c r="B4" i="14"/>
  <c r="A4" i="14"/>
  <c r="E3" i="14"/>
  <c r="D3" i="14"/>
  <c r="C3" i="14"/>
  <c r="B3" i="14"/>
  <c r="A3" i="14"/>
  <c r="E8" i="12"/>
  <c r="D8" i="12"/>
  <c r="C8" i="12"/>
  <c r="B8" i="12"/>
  <c r="A8" i="12"/>
  <c r="E7" i="12"/>
  <c r="D7" i="12"/>
  <c r="C7" i="12"/>
  <c r="B7" i="12"/>
  <c r="A7" i="12"/>
  <c r="E6" i="12"/>
  <c r="D6" i="12"/>
  <c r="C6" i="12"/>
  <c r="B6" i="12"/>
  <c r="A6" i="12"/>
  <c r="E5" i="12"/>
  <c r="D5" i="12"/>
  <c r="C5" i="12"/>
  <c r="B5" i="12"/>
  <c r="A5" i="12"/>
  <c r="E4" i="12"/>
  <c r="D4" i="12"/>
  <c r="C4" i="12"/>
  <c r="B4" i="12"/>
  <c r="A4" i="12"/>
  <c r="I10" i="10"/>
  <c r="H10" i="10"/>
  <c r="G10" i="10"/>
  <c r="F10" i="10"/>
  <c r="E10" i="10"/>
  <c r="D10" i="10"/>
  <c r="C10" i="10"/>
  <c r="B10" i="10"/>
  <c r="A10" i="10"/>
  <c r="I9" i="10"/>
  <c r="H9" i="10"/>
  <c r="G9" i="10"/>
  <c r="F9" i="10"/>
  <c r="E9" i="10"/>
  <c r="D9" i="10"/>
  <c r="C9" i="10"/>
  <c r="B9" i="10"/>
  <c r="A9" i="10"/>
  <c r="I8" i="10"/>
  <c r="H8" i="10"/>
  <c r="G8" i="10"/>
  <c r="F8" i="10"/>
  <c r="E8" i="10"/>
  <c r="D8" i="10"/>
  <c r="C8" i="10"/>
  <c r="B8" i="10"/>
  <c r="A8" i="10"/>
  <c r="I7" i="10"/>
  <c r="H7" i="10"/>
  <c r="G7" i="10"/>
  <c r="F7" i="10"/>
  <c r="E7" i="10"/>
  <c r="D7" i="10"/>
  <c r="C7" i="10"/>
  <c r="B7" i="10"/>
  <c r="A7" i="10"/>
  <c r="I6" i="10"/>
  <c r="H6" i="10"/>
  <c r="G6" i="10"/>
  <c r="F6" i="10"/>
  <c r="E6" i="10"/>
  <c r="D6" i="10"/>
  <c r="C6" i="10"/>
  <c r="B6" i="10"/>
  <c r="A6" i="10"/>
  <c r="I5" i="10"/>
  <c r="H5" i="10"/>
  <c r="G5" i="10"/>
  <c r="F5" i="10"/>
  <c r="E5" i="10"/>
  <c r="D5" i="10"/>
  <c r="C5" i="10"/>
  <c r="B5" i="10"/>
  <c r="A5" i="10"/>
  <c r="C8" i="8"/>
  <c r="B8" i="8"/>
  <c r="A8" i="8"/>
  <c r="C7" i="8"/>
  <c r="B7" i="8"/>
  <c r="A7" i="8"/>
  <c r="C6" i="8"/>
  <c r="B6" i="8"/>
  <c r="A6" i="8"/>
  <c r="C5" i="8"/>
  <c r="B5" i="8"/>
  <c r="A5" i="8"/>
  <c r="C4" i="8"/>
  <c r="B4" i="8"/>
  <c r="A4" i="8"/>
  <c r="E64" i="6"/>
  <c r="D64" i="6"/>
  <c r="C64" i="6"/>
  <c r="B64" i="6"/>
  <c r="A64" i="6"/>
  <c r="E63" i="6"/>
  <c r="D63" i="6"/>
  <c r="C63" i="6"/>
  <c r="B63" i="6"/>
  <c r="A63" i="6"/>
  <c r="E62" i="6"/>
  <c r="D62" i="6"/>
  <c r="C62" i="6"/>
  <c r="B62" i="6"/>
  <c r="A62" i="6"/>
  <c r="E61" i="6"/>
  <c r="D61" i="6"/>
  <c r="C61" i="6"/>
  <c r="B61" i="6"/>
  <c r="A61" i="6"/>
  <c r="E60" i="6"/>
  <c r="D60" i="6"/>
  <c r="C60" i="6"/>
  <c r="B60" i="6"/>
  <c r="A60" i="6"/>
  <c r="E59" i="6"/>
  <c r="D59" i="6"/>
  <c r="C59" i="6"/>
  <c r="B59" i="6"/>
  <c r="A59" i="6"/>
  <c r="E58" i="6"/>
  <c r="D58" i="6"/>
  <c r="C58" i="6"/>
  <c r="B58" i="6"/>
  <c r="A58" i="6"/>
  <c r="E57" i="6"/>
  <c r="D57" i="6"/>
  <c r="C57" i="6"/>
  <c r="B57" i="6"/>
  <c r="A57" i="6"/>
  <c r="E56" i="6"/>
  <c r="D56" i="6"/>
  <c r="C56" i="6"/>
  <c r="B56" i="6"/>
  <c r="A56" i="6"/>
  <c r="E55" i="6"/>
  <c r="D55" i="6"/>
  <c r="C55" i="6"/>
  <c r="B55" i="6"/>
  <c r="A55" i="6"/>
  <c r="E54" i="6"/>
  <c r="D54" i="6"/>
  <c r="C54" i="6"/>
  <c r="B54" i="6"/>
  <c r="A54" i="6"/>
  <c r="E53" i="6"/>
  <c r="D53" i="6"/>
  <c r="C53" i="6"/>
  <c r="B53" i="6"/>
  <c r="A53" i="6"/>
  <c r="E52" i="6"/>
  <c r="D52" i="6"/>
  <c r="C52" i="6"/>
  <c r="B52" i="6"/>
  <c r="A52" i="6"/>
  <c r="E51" i="6"/>
  <c r="D51" i="6"/>
  <c r="C51" i="6"/>
  <c r="B51" i="6"/>
  <c r="A51" i="6"/>
  <c r="E50" i="6"/>
  <c r="D50" i="6"/>
  <c r="C50" i="6"/>
  <c r="B50" i="6"/>
  <c r="A50" i="6"/>
  <c r="E49" i="6"/>
  <c r="D49" i="6"/>
  <c r="C49" i="6"/>
  <c r="B49" i="6"/>
  <c r="A49" i="6"/>
  <c r="E48" i="6"/>
  <c r="D48" i="6"/>
  <c r="C48" i="6"/>
  <c r="B48" i="6"/>
  <c r="A48" i="6"/>
  <c r="E47" i="6"/>
  <c r="D47" i="6"/>
  <c r="C47" i="6"/>
  <c r="B47" i="6"/>
  <c r="A47" i="6"/>
  <c r="E46" i="6"/>
  <c r="D46" i="6"/>
  <c r="C46" i="6"/>
  <c r="B46" i="6"/>
  <c r="A46" i="6"/>
  <c r="E45" i="6"/>
  <c r="D45" i="6"/>
  <c r="C45" i="6"/>
  <c r="B45" i="6"/>
  <c r="A45" i="6"/>
  <c r="E44" i="6"/>
  <c r="D44" i="6"/>
  <c r="C44" i="6"/>
  <c r="B44" i="6"/>
  <c r="A44" i="6"/>
  <c r="E43" i="6"/>
  <c r="D43" i="6"/>
  <c r="C43" i="6"/>
  <c r="B43" i="6"/>
  <c r="A43" i="6"/>
  <c r="E42" i="6"/>
  <c r="D42" i="6"/>
  <c r="C42" i="6"/>
  <c r="B42" i="6"/>
  <c r="A42" i="6"/>
  <c r="E41" i="6"/>
  <c r="D41" i="6"/>
  <c r="C41" i="6"/>
  <c r="B41" i="6"/>
  <c r="A41" i="6"/>
  <c r="E40" i="6"/>
  <c r="D40" i="6"/>
  <c r="C40" i="6"/>
  <c r="B40" i="6"/>
  <c r="A40" i="6"/>
  <c r="E39" i="6"/>
  <c r="D39" i="6"/>
  <c r="C39" i="6"/>
  <c r="B39" i="6"/>
  <c r="A39" i="6"/>
  <c r="E38" i="6"/>
  <c r="D38" i="6"/>
  <c r="C38" i="6"/>
  <c r="B38" i="6"/>
  <c r="A38" i="6"/>
  <c r="E37" i="6"/>
  <c r="D37" i="6"/>
  <c r="C37" i="6"/>
  <c r="B37" i="6"/>
  <c r="A37" i="6"/>
  <c r="E36" i="6"/>
  <c r="D36" i="6"/>
  <c r="C36" i="6"/>
  <c r="B36" i="6"/>
  <c r="A36" i="6"/>
  <c r="E35" i="6"/>
  <c r="D35" i="6"/>
  <c r="C35" i="6"/>
  <c r="B35" i="6"/>
  <c r="A35" i="6"/>
  <c r="E34" i="6"/>
  <c r="D34" i="6"/>
  <c r="C34" i="6"/>
  <c r="B34" i="6"/>
  <c r="A34" i="6"/>
  <c r="E33" i="6"/>
  <c r="D33" i="6"/>
  <c r="C33" i="6"/>
  <c r="B33" i="6"/>
  <c r="A33" i="6"/>
  <c r="E32" i="6"/>
  <c r="D32" i="6"/>
  <c r="C32" i="6"/>
  <c r="B32" i="6"/>
  <c r="A32" i="6"/>
  <c r="E31" i="6"/>
  <c r="D31" i="6"/>
  <c r="C31" i="6"/>
  <c r="B31" i="6"/>
  <c r="A31" i="6"/>
  <c r="E30" i="6"/>
  <c r="D30" i="6"/>
  <c r="C30" i="6"/>
  <c r="B30" i="6"/>
  <c r="A30" i="6"/>
  <c r="E29" i="6"/>
  <c r="D29" i="6"/>
  <c r="C29" i="6"/>
  <c r="B29" i="6"/>
  <c r="A29" i="6"/>
  <c r="E28" i="6"/>
  <c r="D28" i="6"/>
  <c r="C28" i="6"/>
  <c r="B28" i="6"/>
  <c r="A28" i="6"/>
  <c r="E27" i="6"/>
  <c r="D27" i="6"/>
  <c r="C27" i="6"/>
  <c r="B27" i="6"/>
  <c r="A27" i="6"/>
  <c r="E26" i="6"/>
  <c r="D26" i="6"/>
  <c r="C26" i="6"/>
  <c r="B26" i="6"/>
  <c r="A26" i="6"/>
  <c r="E25" i="6"/>
  <c r="D25" i="6"/>
  <c r="C25" i="6"/>
  <c r="B25" i="6"/>
  <c r="A25" i="6"/>
  <c r="E24" i="6"/>
  <c r="D24" i="6"/>
  <c r="C24" i="6"/>
  <c r="B24" i="6"/>
  <c r="A24" i="6"/>
  <c r="E23" i="6"/>
  <c r="D23" i="6"/>
  <c r="C23" i="6"/>
  <c r="B23" i="6"/>
  <c r="A23" i="6"/>
  <c r="E22" i="6"/>
  <c r="D22" i="6"/>
  <c r="C22" i="6"/>
  <c r="B22" i="6"/>
  <c r="A22" i="6"/>
  <c r="E21" i="6"/>
  <c r="D21" i="6"/>
  <c r="C21" i="6"/>
  <c r="B21" i="6"/>
  <c r="A21" i="6"/>
  <c r="E20" i="6"/>
  <c r="D20" i="6"/>
  <c r="C20" i="6"/>
  <c r="B20" i="6"/>
  <c r="A20" i="6"/>
  <c r="E19" i="6"/>
  <c r="D19" i="6"/>
  <c r="C19" i="6"/>
  <c r="B19" i="6"/>
  <c r="A19" i="6"/>
  <c r="E18" i="6"/>
  <c r="D18" i="6"/>
  <c r="C18" i="6"/>
  <c r="B18" i="6"/>
  <c r="A18" i="6"/>
  <c r="E17" i="6"/>
  <c r="D17" i="6"/>
  <c r="C17" i="6"/>
  <c r="B17" i="6"/>
  <c r="A17" i="6"/>
  <c r="E16" i="6"/>
  <c r="D16" i="6"/>
  <c r="C16" i="6"/>
  <c r="B16" i="6"/>
  <c r="A16" i="6"/>
  <c r="E15" i="6"/>
  <c r="D15" i="6"/>
  <c r="C15" i="6"/>
  <c r="B15" i="6"/>
  <c r="A15" i="6"/>
  <c r="E14" i="6"/>
  <c r="D14" i="6"/>
  <c r="C14" i="6"/>
  <c r="B14" i="6"/>
  <c r="A14" i="6"/>
  <c r="E13" i="6"/>
  <c r="D13" i="6"/>
  <c r="C13" i="6"/>
  <c r="B13" i="6"/>
  <c r="A13" i="6"/>
  <c r="E12" i="6"/>
  <c r="D12" i="6"/>
  <c r="C12" i="6"/>
  <c r="B12" i="6"/>
  <c r="A12" i="6"/>
  <c r="E11" i="6"/>
  <c r="D11" i="6"/>
  <c r="C11" i="6"/>
  <c r="B11" i="6"/>
  <c r="A11" i="6"/>
  <c r="E10" i="6"/>
  <c r="D10" i="6"/>
  <c r="C10" i="6"/>
  <c r="B10" i="6"/>
  <c r="A10" i="6"/>
  <c r="E9" i="6"/>
  <c r="D9" i="6"/>
  <c r="C9" i="6"/>
  <c r="B9" i="6"/>
  <c r="A9" i="6"/>
  <c r="E8" i="6"/>
  <c r="D8" i="6"/>
  <c r="C8" i="6"/>
  <c r="B8" i="6"/>
  <c r="A8" i="6"/>
  <c r="E7" i="6"/>
  <c r="D7" i="6"/>
  <c r="C7" i="6"/>
  <c r="B7" i="6"/>
  <c r="A7" i="6"/>
  <c r="E6" i="6"/>
  <c r="D6" i="6"/>
  <c r="C6" i="6"/>
  <c r="B6" i="6"/>
  <c r="A6" i="6"/>
  <c r="E5" i="6"/>
  <c r="D5" i="6"/>
  <c r="C5" i="6"/>
  <c r="B5" i="6"/>
  <c r="A5" i="6"/>
  <c r="E101" i="4"/>
  <c r="D101" i="4"/>
  <c r="C101" i="4"/>
  <c r="B101" i="4"/>
  <c r="A101" i="4"/>
  <c r="E100" i="4"/>
  <c r="D100" i="4"/>
  <c r="C100" i="4"/>
  <c r="B100" i="4"/>
  <c r="A100" i="4"/>
  <c r="E99" i="4"/>
  <c r="D99" i="4"/>
  <c r="C99" i="4"/>
  <c r="B99" i="4"/>
  <c r="A99" i="4"/>
  <c r="E98" i="4"/>
  <c r="D98" i="4"/>
  <c r="C98" i="4"/>
  <c r="B98" i="4"/>
  <c r="A98" i="4"/>
  <c r="E97" i="4"/>
  <c r="D97" i="4"/>
  <c r="C97" i="4"/>
  <c r="B97" i="4"/>
  <c r="A97" i="4"/>
  <c r="E96" i="4"/>
  <c r="D96" i="4"/>
  <c r="C96" i="4"/>
  <c r="B96" i="4"/>
  <c r="A96" i="4"/>
  <c r="E95" i="4"/>
  <c r="D95" i="4"/>
  <c r="C95" i="4"/>
  <c r="B95" i="4"/>
  <c r="A95" i="4"/>
  <c r="E94" i="4"/>
  <c r="D94" i="4"/>
  <c r="C94" i="4"/>
  <c r="B94" i="4"/>
  <c r="A94" i="4"/>
  <c r="E93" i="4"/>
  <c r="D93" i="4"/>
  <c r="C93" i="4"/>
  <c r="B93" i="4"/>
  <c r="A93" i="4"/>
  <c r="E92" i="4"/>
  <c r="D92" i="4"/>
  <c r="C92" i="4"/>
  <c r="B92" i="4"/>
  <c r="A92" i="4"/>
  <c r="E91" i="4"/>
  <c r="D91" i="4"/>
  <c r="C91" i="4"/>
  <c r="B91" i="4"/>
  <c r="A91" i="4"/>
  <c r="E90" i="4"/>
  <c r="D90" i="4"/>
  <c r="C90" i="4"/>
  <c r="B90" i="4"/>
  <c r="A90" i="4"/>
  <c r="E89" i="4"/>
  <c r="D89" i="4"/>
  <c r="C89" i="4"/>
  <c r="B89" i="4"/>
  <c r="A89" i="4"/>
  <c r="E88" i="4"/>
  <c r="D88" i="4"/>
  <c r="C88" i="4"/>
  <c r="B88" i="4"/>
  <c r="A88" i="4"/>
  <c r="E87" i="4"/>
  <c r="D87" i="4"/>
  <c r="C87" i="4"/>
  <c r="B87" i="4"/>
  <c r="A87" i="4"/>
  <c r="E86" i="4"/>
  <c r="D86" i="4"/>
  <c r="C86" i="4"/>
  <c r="B86" i="4"/>
  <c r="A86" i="4"/>
  <c r="E85" i="4"/>
  <c r="D85" i="4"/>
  <c r="C85" i="4"/>
  <c r="B85" i="4"/>
  <c r="A85" i="4"/>
  <c r="E84" i="4"/>
  <c r="D84" i="4"/>
  <c r="C84" i="4"/>
  <c r="B84" i="4"/>
  <c r="A84" i="4"/>
  <c r="E83" i="4"/>
  <c r="D83" i="4"/>
  <c r="C83" i="4"/>
  <c r="B83" i="4"/>
  <c r="A83" i="4"/>
  <c r="E82" i="4"/>
  <c r="D82" i="4"/>
  <c r="C82" i="4"/>
  <c r="B82" i="4"/>
  <c r="A82" i="4"/>
  <c r="E81" i="4"/>
  <c r="D81" i="4"/>
  <c r="C81" i="4"/>
  <c r="B81" i="4"/>
  <c r="A81" i="4"/>
  <c r="E80" i="4"/>
  <c r="D80" i="4"/>
  <c r="C80" i="4"/>
  <c r="B80" i="4"/>
  <c r="A80" i="4"/>
  <c r="E79" i="4"/>
  <c r="D79" i="4"/>
  <c r="C79" i="4"/>
  <c r="B79" i="4"/>
  <c r="A79" i="4"/>
  <c r="E78" i="4"/>
  <c r="D78" i="4"/>
  <c r="C78" i="4"/>
  <c r="B78" i="4"/>
  <c r="A78" i="4"/>
  <c r="E77" i="4"/>
  <c r="D77" i="4"/>
  <c r="C77" i="4"/>
  <c r="B77" i="4"/>
  <c r="A77" i="4"/>
  <c r="E76" i="4"/>
  <c r="D76" i="4"/>
  <c r="C76" i="4"/>
  <c r="B76" i="4"/>
  <c r="A76" i="4"/>
  <c r="E75" i="4"/>
  <c r="D75" i="4"/>
  <c r="C75" i="4"/>
  <c r="B75" i="4"/>
  <c r="A75" i="4"/>
  <c r="E74" i="4"/>
  <c r="D74" i="4"/>
  <c r="C74" i="4"/>
  <c r="B74" i="4"/>
  <c r="A74" i="4"/>
  <c r="E73" i="4"/>
  <c r="D73" i="4"/>
  <c r="C73" i="4"/>
  <c r="B73" i="4"/>
  <c r="A73" i="4"/>
  <c r="E72" i="4"/>
  <c r="D72" i="4"/>
  <c r="C72" i="4"/>
  <c r="B72" i="4"/>
  <c r="A72" i="4"/>
  <c r="E71" i="4"/>
  <c r="D71" i="4"/>
  <c r="C71" i="4"/>
  <c r="B71" i="4"/>
  <c r="A71" i="4"/>
  <c r="E70" i="4"/>
  <c r="D70" i="4"/>
  <c r="C70" i="4"/>
  <c r="B70" i="4"/>
  <c r="A70" i="4"/>
  <c r="E69" i="4"/>
  <c r="D69" i="4"/>
  <c r="C69" i="4"/>
  <c r="B69" i="4"/>
  <c r="A69" i="4"/>
  <c r="E68" i="4"/>
  <c r="D68" i="4"/>
  <c r="C68" i="4"/>
  <c r="B68" i="4"/>
  <c r="A68" i="4"/>
  <c r="E67" i="4"/>
  <c r="D67" i="4"/>
  <c r="C67" i="4"/>
  <c r="B67" i="4"/>
  <c r="A67" i="4"/>
  <c r="E66" i="4"/>
  <c r="D66" i="4"/>
  <c r="C66" i="4"/>
  <c r="B66" i="4"/>
  <c r="A66" i="4"/>
  <c r="E65" i="4"/>
  <c r="D65" i="4"/>
  <c r="C65" i="4"/>
  <c r="B65" i="4"/>
  <c r="A65" i="4"/>
  <c r="E64" i="4"/>
  <c r="D64" i="4"/>
  <c r="C64" i="4"/>
  <c r="B64" i="4"/>
  <c r="A64" i="4"/>
  <c r="E63" i="4"/>
  <c r="D63" i="4"/>
  <c r="C63" i="4"/>
  <c r="B63" i="4"/>
  <c r="A63" i="4"/>
  <c r="E62" i="4"/>
  <c r="D62" i="4"/>
  <c r="C62" i="4"/>
  <c r="B62" i="4"/>
  <c r="A62" i="4"/>
  <c r="E61" i="4"/>
  <c r="D61" i="4"/>
  <c r="C61" i="4"/>
  <c r="B61" i="4"/>
  <c r="A61" i="4"/>
  <c r="E60" i="4"/>
  <c r="D60" i="4"/>
  <c r="C60" i="4"/>
  <c r="B60" i="4"/>
  <c r="A60" i="4"/>
  <c r="E59" i="4"/>
  <c r="D59" i="4"/>
  <c r="C59" i="4"/>
  <c r="B59" i="4"/>
  <c r="A59" i="4"/>
  <c r="E58" i="4"/>
  <c r="D58" i="4"/>
  <c r="C58" i="4"/>
  <c r="B58" i="4"/>
  <c r="A58" i="4"/>
  <c r="E57" i="4"/>
  <c r="D57" i="4"/>
  <c r="C57" i="4"/>
  <c r="B57" i="4"/>
  <c r="A57" i="4"/>
  <c r="E56" i="4"/>
  <c r="D56" i="4"/>
  <c r="C56" i="4"/>
  <c r="B56" i="4"/>
  <c r="A56" i="4"/>
  <c r="E55" i="4"/>
  <c r="D55" i="4"/>
  <c r="C55" i="4"/>
  <c r="B55" i="4"/>
  <c r="A55" i="4"/>
  <c r="E54" i="4"/>
  <c r="D54" i="4"/>
  <c r="C54" i="4"/>
  <c r="B54" i="4"/>
  <c r="A54" i="4"/>
  <c r="E53" i="4"/>
  <c r="D53" i="4"/>
  <c r="C53" i="4"/>
  <c r="B53" i="4"/>
  <c r="A53" i="4"/>
  <c r="E52" i="4"/>
  <c r="D52" i="4"/>
  <c r="C52" i="4"/>
  <c r="B52" i="4"/>
  <c r="A52" i="4"/>
  <c r="E51" i="4"/>
  <c r="D51" i="4"/>
  <c r="C51" i="4"/>
  <c r="B51" i="4"/>
  <c r="A51" i="4"/>
  <c r="E50" i="4"/>
  <c r="D50" i="4"/>
  <c r="C50" i="4"/>
  <c r="B50" i="4"/>
  <c r="A50" i="4"/>
  <c r="E49" i="4"/>
  <c r="D49" i="4"/>
  <c r="C49" i="4"/>
  <c r="B49" i="4"/>
  <c r="A49" i="4"/>
  <c r="E48" i="4"/>
  <c r="D48" i="4"/>
  <c r="C48" i="4"/>
  <c r="B48" i="4"/>
  <c r="A48" i="4"/>
  <c r="E47" i="4"/>
  <c r="D47" i="4"/>
  <c r="C47" i="4"/>
  <c r="B47" i="4"/>
  <c r="A47" i="4"/>
  <c r="E46" i="4"/>
  <c r="D46" i="4"/>
  <c r="C46" i="4"/>
  <c r="B46" i="4"/>
  <c r="A46" i="4"/>
  <c r="E45" i="4"/>
  <c r="D45" i="4"/>
  <c r="C45" i="4"/>
  <c r="B45" i="4"/>
  <c r="A45" i="4"/>
  <c r="E44" i="4"/>
  <c r="D44" i="4"/>
  <c r="C44" i="4"/>
  <c r="B44" i="4"/>
  <c r="A44" i="4"/>
  <c r="E43" i="4"/>
  <c r="D43" i="4"/>
  <c r="C43" i="4"/>
  <c r="B43" i="4"/>
  <c r="A43" i="4"/>
  <c r="E42" i="4"/>
  <c r="D42" i="4"/>
  <c r="C42" i="4"/>
  <c r="B42" i="4"/>
  <c r="A42" i="4"/>
  <c r="E41" i="4"/>
  <c r="D41" i="4"/>
  <c r="C41" i="4"/>
  <c r="B41" i="4"/>
  <c r="A41" i="4"/>
  <c r="E40" i="4"/>
  <c r="D40" i="4"/>
  <c r="C40" i="4"/>
  <c r="B40" i="4"/>
  <c r="A40" i="4"/>
  <c r="E39" i="4"/>
  <c r="D39" i="4"/>
  <c r="C39" i="4"/>
  <c r="B39" i="4"/>
  <c r="A39" i="4"/>
  <c r="E38" i="4"/>
  <c r="D38" i="4"/>
  <c r="C38" i="4"/>
  <c r="B38" i="4"/>
  <c r="A38" i="4"/>
  <c r="E37" i="4"/>
  <c r="D37" i="4"/>
  <c r="C37" i="4"/>
  <c r="B37" i="4"/>
  <c r="A37" i="4"/>
  <c r="E36" i="4"/>
  <c r="D36" i="4"/>
  <c r="C36" i="4"/>
  <c r="B36" i="4"/>
  <c r="A36" i="4"/>
  <c r="E35" i="4"/>
  <c r="D35" i="4"/>
  <c r="C35" i="4"/>
  <c r="B35" i="4"/>
  <c r="A35" i="4"/>
  <c r="E34" i="4"/>
  <c r="D34" i="4"/>
  <c r="C34" i="4"/>
  <c r="B34" i="4"/>
  <c r="A34" i="4"/>
  <c r="E33" i="4"/>
  <c r="D33" i="4"/>
  <c r="C33" i="4"/>
  <c r="B33" i="4"/>
  <c r="A33" i="4"/>
  <c r="E32" i="4"/>
  <c r="D32" i="4"/>
  <c r="C32" i="4"/>
  <c r="B32" i="4"/>
  <c r="A32" i="4"/>
  <c r="E31" i="4"/>
  <c r="D31" i="4"/>
  <c r="C31" i="4"/>
  <c r="B31" i="4"/>
  <c r="A31" i="4"/>
  <c r="E30" i="4"/>
  <c r="D30" i="4"/>
  <c r="C30" i="4"/>
  <c r="B30" i="4"/>
  <c r="A30" i="4"/>
  <c r="E29" i="4"/>
  <c r="D29" i="4"/>
  <c r="C29" i="4"/>
  <c r="B29" i="4"/>
  <c r="A29" i="4"/>
  <c r="E28" i="4"/>
  <c r="D28" i="4"/>
  <c r="C28" i="4"/>
  <c r="B28" i="4"/>
  <c r="A28" i="4"/>
  <c r="E27" i="4"/>
  <c r="D27" i="4"/>
  <c r="C27" i="4"/>
  <c r="B27" i="4"/>
  <c r="A27" i="4"/>
  <c r="E26" i="4"/>
  <c r="D26" i="4"/>
  <c r="C26" i="4"/>
  <c r="B26" i="4"/>
  <c r="A26" i="4"/>
  <c r="E25" i="4"/>
  <c r="D25" i="4"/>
  <c r="C25" i="4"/>
  <c r="B25" i="4"/>
  <c r="A25" i="4"/>
  <c r="E24" i="4"/>
  <c r="D24" i="4"/>
  <c r="C24" i="4"/>
  <c r="B24" i="4"/>
  <c r="A24" i="4"/>
  <c r="E23" i="4"/>
  <c r="D23" i="4"/>
  <c r="C23" i="4"/>
  <c r="B23" i="4"/>
  <c r="A23" i="4"/>
  <c r="E22" i="4"/>
  <c r="D22" i="4"/>
  <c r="C22" i="4"/>
  <c r="B22" i="4"/>
  <c r="A22" i="4"/>
  <c r="E21" i="4"/>
  <c r="D21" i="4"/>
  <c r="C21" i="4"/>
  <c r="B21" i="4"/>
  <c r="A21" i="4"/>
  <c r="E20" i="4"/>
  <c r="D20" i="4"/>
  <c r="C20" i="4"/>
  <c r="B20" i="4"/>
  <c r="A20" i="4"/>
  <c r="E19" i="4"/>
  <c r="D19" i="4"/>
  <c r="C19" i="4"/>
  <c r="B19" i="4"/>
  <c r="A19" i="4"/>
  <c r="E18" i="4"/>
  <c r="D18" i="4"/>
  <c r="C18" i="4"/>
  <c r="B18" i="4"/>
  <c r="A18" i="4"/>
  <c r="E17" i="4"/>
  <c r="D17" i="4"/>
  <c r="C17" i="4"/>
  <c r="B17" i="4"/>
  <c r="A17" i="4"/>
  <c r="E16" i="4"/>
  <c r="D16" i="4"/>
  <c r="C16" i="4"/>
  <c r="B16" i="4"/>
  <c r="A16" i="4"/>
  <c r="E15" i="4"/>
  <c r="D15" i="4"/>
  <c r="C15" i="4"/>
  <c r="B15" i="4"/>
  <c r="A15" i="4"/>
  <c r="E14" i="4"/>
  <c r="D14" i="4"/>
  <c r="C14" i="4"/>
  <c r="B14" i="4"/>
  <c r="A14" i="4"/>
  <c r="E13" i="4"/>
  <c r="D13" i="4"/>
  <c r="C13" i="4"/>
  <c r="B13" i="4"/>
  <c r="A13" i="4"/>
  <c r="E12" i="4"/>
  <c r="D12" i="4"/>
  <c r="C12" i="4"/>
  <c r="B12" i="4"/>
  <c r="A12" i="4"/>
  <c r="E11" i="4"/>
  <c r="D11" i="4"/>
  <c r="C11" i="4"/>
  <c r="B11" i="4"/>
  <c r="A11" i="4"/>
  <c r="E10" i="4"/>
  <c r="D10" i="4"/>
  <c r="C10" i="4"/>
  <c r="B10" i="4"/>
  <c r="A10" i="4"/>
  <c r="E9" i="4"/>
  <c r="D9" i="4"/>
  <c r="C9" i="4"/>
  <c r="B9" i="4"/>
  <c r="A9" i="4"/>
  <c r="E8" i="4"/>
  <c r="D8" i="4"/>
  <c r="C8" i="4"/>
  <c r="B8" i="4"/>
  <c r="A8" i="4"/>
  <c r="E7" i="4"/>
  <c r="D7" i="4"/>
  <c r="C7" i="4"/>
  <c r="B7" i="4"/>
  <c r="A7" i="4"/>
  <c r="E6" i="4"/>
  <c r="D6" i="4"/>
  <c r="C6" i="4"/>
  <c r="B6" i="4"/>
  <c r="A6" i="4"/>
  <c r="E5" i="4"/>
  <c r="D5" i="4"/>
  <c r="C5" i="4"/>
  <c r="B5" i="4"/>
  <c r="A5" i="4"/>
</calcChain>
</file>

<file path=xl/comments1.xml><?xml version="1.0" encoding="utf-8"?>
<comments xmlns="http://schemas.openxmlformats.org/spreadsheetml/2006/main">
  <authors>
    <author>OpenL</author>
  </authors>
  <commentList>
    <comment ref="A99" authorId="0" shapeId="0">
      <text>
        <r>
          <rPr>
            <sz val="11"/>
            <color theme="1"/>
            <rFont val="Calibri"/>
            <family val="2"/>
            <scheme val="minor"/>
          </rPr>
          <t>Được phép chèn thêm hàng sau hàng này</t>
        </r>
      </text>
    </comment>
  </commentList>
</comments>
</file>

<file path=xl/comments2.xml><?xml version="1.0" encoding="utf-8"?>
<comments xmlns="http://schemas.openxmlformats.org/spreadsheetml/2006/main">
  <authors>
    <author>OpenL</author>
  </authors>
  <commentList>
    <comment ref="A32" authorId="0" shapeId="0">
      <text>
        <r>
          <rPr>
            <sz val="11"/>
            <color theme="1"/>
            <rFont val="Calibri"/>
            <family val="2"/>
            <scheme val="minor"/>
          </rPr>
          <t>Được phép chèn thêm hàng sau hàng này</t>
        </r>
      </text>
    </comment>
    <comment ref="A73" authorId="0" shapeId="0">
      <text>
        <r>
          <rPr>
            <sz val="11"/>
            <color theme="1"/>
            <rFont val="Calibri"/>
            <family val="2"/>
            <scheme val="minor"/>
          </rPr>
          <t>Được phép chèn thêm hàng sau hàng này</t>
        </r>
      </text>
    </comment>
  </commentList>
</comments>
</file>

<file path=xl/comments3.xml><?xml version="1.0" encoding="utf-8"?>
<comments xmlns="http://schemas.openxmlformats.org/spreadsheetml/2006/main">
  <authors>
    <author>OpenL</author>
  </authors>
  <commentList>
    <comment ref="A3" authorId="0" shapeId="0">
      <text>
        <r>
          <rPr>
            <sz val="11"/>
            <color theme="1"/>
            <rFont val="Calibri"/>
            <family val="2"/>
            <scheme val="minor"/>
          </rPr>
          <t>Được phép chèn thêm hàng sau hàng này</t>
        </r>
      </text>
    </comment>
    <comment ref="A5" authorId="0" shapeId="0">
      <text>
        <r>
          <rPr>
            <sz val="11"/>
            <color theme="1"/>
            <rFont val="Calibri"/>
            <family val="2"/>
            <scheme val="minor"/>
          </rPr>
          <t>Được phép chèn thêm hàng sau hàng này</t>
        </r>
      </text>
    </comment>
    <comment ref="A7" authorId="0" shapeId="0">
      <text>
        <r>
          <rPr>
            <sz val="11"/>
            <color theme="1"/>
            <rFont val="Calibri"/>
            <family val="2"/>
            <scheme val="minor"/>
          </rPr>
          <t>Được phép chèn thêm hàng sau hàng này</t>
        </r>
      </text>
    </comment>
    <comment ref="A9" authorId="0" shapeId="0">
      <text>
        <r>
          <rPr>
            <sz val="11"/>
            <color theme="1"/>
            <rFont val="Calibri"/>
            <family val="2"/>
            <scheme val="minor"/>
          </rPr>
          <t>Được phép chèn thêm hàng sau hàng này</t>
        </r>
      </text>
    </comment>
  </commentList>
</comments>
</file>

<file path=xl/comments4.xml><?xml version="1.0" encoding="utf-8"?>
<comments xmlns="http://schemas.openxmlformats.org/spreadsheetml/2006/main">
  <authors>
    <author>OpenL</author>
  </authors>
  <commentList>
    <comment ref="A4" authorId="0" shapeId="0">
      <text>
        <r>
          <rPr>
            <sz val="11"/>
            <color theme="1"/>
            <rFont val="Calibri"/>
            <family val="2"/>
            <scheme val="minor"/>
          </rPr>
          <t>Được phép chèn thêm hàng sau hàng này</t>
        </r>
      </text>
    </comment>
  </commentList>
</comments>
</file>

<file path=xl/sharedStrings.xml><?xml version="1.0" encoding="utf-8"?>
<sst xmlns="http://schemas.openxmlformats.org/spreadsheetml/2006/main" count="1050" uniqueCount="375">
  <si>
    <t>STT</t>
  </si>
  <si>
    <t>Ghi chú</t>
  </si>
  <si>
    <t>Kính gửi: Ủy ban Chứng khoán Nhà nước</t>
  </si>
  <si>
    <t>Mã sheet</t>
  </si>
  <si>
    <t>Nội dung</t>
  </si>
  <si>
    <t/>
  </si>
  <si>
    <t>BÁO CÁO TỶ LỆ AN TOÀN TÀI CHÍNH_TT102</t>
  </si>
  <si>
    <t>Thông tư số 102/2025/TT-BTC thay thế Thông tư số 91/2020/TT-BTC</t>
  </si>
  <si>
    <t xml:space="preserve">BẢNG TÍNH VỐN KHẢ DỤNG				</t>
  </si>
  <si>
    <t>I_06H01</t>
  </si>
  <si>
    <t xml:space="preserve">BẢNG TÍNH GIÁ TRỊ RỦI RO (Rủi ro thị trường)			</t>
  </si>
  <si>
    <t>II_06H02</t>
  </si>
  <si>
    <t xml:space="preserve">GIÁ TRỊ RỦI RO THANH TOÁN		</t>
  </si>
  <si>
    <t>III_06H03</t>
  </si>
  <si>
    <t xml:space="preserve">GIÁ TRỊ RỦI RO THANH TOÁN (Rủi ro trước thời hạn thanh toán)								</t>
  </si>
  <si>
    <t>IV_06H04</t>
  </si>
  <si>
    <t xml:space="preserve">GIÁ TRỊ RỦI RO THANH TOÁN (Rủi ro quá thời hạn thanh toán)				</t>
  </si>
  <si>
    <t>V_06H05</t>
  </si>
  <si>
    <t>GIÁ TRỊ RỦI RO THANH TOÁN (Rủi ro từ các khoản tạm ứng, hợp đồng, giao dịch khác)</t>
  </si>
  <si>
    <t>X_06H09</t>
  </si>
  <si>
    <t xml:space="preserve">GIÁ TRỊ RỦI RO THANH TOÁN (Rủi ro tăng thêm)				</t>
  </si>
  <si>
    <t>VI_06H06</t>
  </si>
  <si>
    <t xml:space="preserve">GIÁ TRỊ RỦI RO HOẠT ĐỘNG 	</t>
  </si>
  <si>
    <t>VII_06H07</t>
  </si>
  <si>
    <t xml:space="preserve">BẢNG TỔNG HỢP CÁC CHỈ TIÊU RỦI RO VÀ VỐN KHẢ DỤNG			</t>
  </si>
  <si>
    <t>VIII_06H08</t>
  </si>
  <si>
    <t>Ghi chú	
Không đổi tên sheet
Không xóa cột trên sheet
Những dòng có dấu … có thể thêm dòng</t>
  </si>
  <si>
    <t>Lập, ngày … tháng … năm …</t>
  </si>
  <si>
    <t>Kế toán trưởng</t>
  </si>
  <si>
    <t>Trưởng bộ phận kiểm soát nội bộ</t>
  </si>
  <si>
    <t>(Tổng) Giám đốc</t>
  </si>
  <si>
    <t>(Ký, họ tên)</t>
  </si>
  <si>
    <t>(Ký, họ tên, đóng dấu)</t>
  </si>
  <si>
    <t>Vốn khả dụng</t>
  </si>
  <si>
    <t>NỘI DUNG</t>
  </si>
  <si>
    <t>Khoản giảm trừ</t>
  </si>
  <si>
    <t>Khoản tăng thêm</t>
  </si>
  <si>
    <t>Đơn vị tính: đồng</t>
  </si>
  <si>
    <t xml:space="preserve">Các tài sản tài chính ghi nhận thông qua lãi/lỗ (FVTPL)
</t>
  </si>
  <si>
    <t xml:space="preserve">- Chứng khoán bị giảm trừ khỏi vốn khả dụng
</t>
  </si>
  <si>
    <t xml:space="preserve">Các khoản đầu tư nắm giữ đến ngày đáo hạn (HTM)
</t>
  </si>
  <si>
    <t>5.2</t>
  </si>
  <si>
    <t xml:space="preserve">- Các khoản phải thu có thời hạn thanh toán còn lại trên 90 ngày
</t>
  </si>
  <si>
    <t xml:space="preserve">Tổng
</t>
  </si>
  <si>
    <t>2.1</t>
  </si>
  <si>
    <t>2.2</t>
  </si>
  <si>
    <t>3</t>
  </si>
  <si>
    <t>3.1</t>
  </si>
  <si>
    <t>Giá trị đóng góp vào quỹ hỗ trợ thanh toán của Tổng công ty lưu ký và bù trừ chứng khoán Việt Nam</t>
  </si>
  <si>
    <t xml:space="preserve">Giá trị tài sản dùng để bào đảm cho nghĩa vụ
của công ty chứng khoán và tố chức, cá nhân
khác (chi tiết từng đối tượng)
</t>
  </si>
  <si>
    <t>3.2</t>
  </si>
  <si>
    <t>4</t>
  </si>
  <si>
    <t>5</t>
  </si>
  <si>
    <t>5.1</t>
  </si>
  <si>
    <t>6</t>
  </si>
  <si>
    <t>7</t>
  </si>
  <si>
    <t>7.1</t>
  </si>
  <si>
    <t xml:space="preserve">Dự phòng suy giảm giá trị các tài sản tài chính và tài sản thế chấp
</t>
  </si>
  <si>
    <t xml:space="preserve">- Các khoản phải thu có thời hạn thanh toán còn lại từ 90 ngày trở xuống
</t>
  </si>
  <si>
    <t xml:space="preserve">Chứng khoán cơ sở phục vụ mục đích phòng ngừa rủi ro khi phát hành chứng quyền có bảo đảm			
</t>
  </si>
  <si>
    <t xml:space="preserve">Thặng dư vốn cổ phần không bao gồm cổ phần ưu đãi hoàn lại (nếu có) 
</t>
  </si>
  <si>
    <t xml:space="preserve">Cổ phiếu quỹ                                                                                                   
</t>
  </si>
  <si>
    <t>2</t>
  </si>
  <si>
    <t>1D</t>
  </si>
  <si>
    <t>10</t>
  </si>
  <si>
    <t>10.1</t>
  </si>
  <si>
    <t>10.2</t>
  </si>
  <si>
    <t>10.3</t>
  </si>
  <si>
    <t>11</t>
  </si>
  <si>
    <t>11.1</t>
  </si>
  <si>
    <t>11.2</t>
  </si>
  <si>
    <t>11.3</t>
  </si>
  <si>
    <t>12</t>
  </si>
  <si>
    <t>12.1</t>
  </si>
  <si>
    <t>12.2</t>
  </si>
  <si>
    <t>12.3</t>
  </si>
  <si>
    <t>13</t>
  </si>
  <si>
    <t>13.1</t>
  </si>
  <si>
    <t>13.2</t>
  </si>
  <si>
    <t>13.3</t>
  </si>
  <si>
    <t>14</t>
  </si>
  <si>
    <t>II</t>
  </si>
  <si>
    <t>1</t>
  </si>
  <si>
    <t>1.1</t>
  </si>
  <si>
    <t>- Chứng khoán bị giảm trừ khỏi vốn khả dụng</t>
  </si>
  <si>
    <t xml:space="preserve">Quyền chọn chuyển đổi trái phiếu – Cấu phần vốn
</t>
  </si>
  <si>
    <t>Vật tư văn phòng, công cụ dụng cụ</t>
  </si>
  <si>
    <t>Tài sản ngắn hạn khác</t>
  </si>
  <si>
    <t>Cầm cố, thế chấp, ký quỹ, ký cược ngắn hạn</t>
  </si>
  <si>
    <t xml:space="preserve">Vốn góp của chủ sở hữu không bao gồm cổ phần ưu đãi hoàn lại (nếu có)                            
</t>
  </si>
  <si>
    <t>1.2</t>
  </si>
  <si>
    <t>1.3</t>
  </si>
  <si>
    <t xml:space="preserve">Các khoản phải thu (Phải thu bán các tài sản tài chính; Phải thu và dự thu cổ tức, tiền lãi từ các tài sản tài chính)
</t>
  </si>
  <si>
    <t xml:space="preserve">- Phải thu còn hạn nhưng đối tác mất khả năng thanh toán
</t>
  </si>
  <si>
    <t xml:space="preserve">Các chỉ tiêu tài sản bị coi là khoản ngoại trừ, có ý kiến trái ngược hoặc từ chối đưa ra ý kiến tại báo cáo tài chính đã được kiểm toán, soát xét mà không bị tính giảm trừ theo quy định tại Điều 5
</t>
  </si>
  <si>
    <t xml:space="preserve">Khoản ký quỹ bằng tiền và giá trị bảo lãnh thanh toán của ngân hàng khi phát hành chứng quyền có bảo đảm
</t>
  </si>
  <si>
    <t xml:space="preserve">VỐN KHẢ DỤNG = 1A-1B-1C-1D
</t>
  </si>
  <si>
    <t xml:space="preserve">Tài sản dài hạn khác
</t>
  </si>
  <si>
    <t xml:space="preserve">- Chứng khoán tiềm ẩn rủi ro thị trường
</t>
  </si>
  <si>
    <t xml:space="preserve">- Tạm ứng còn hạn nhưng đối tác mất khả
năng thanh toán
</t>
  </si>
  <si>
    <t xml:space="preserve">Các khoản phải thu dài hạn
</t>
  </si>
  <si>
    <t xml:space="preserve">Các khoản đầu tư
</t>
  </si>
  <si>
    <t xml:space="preserve">Các khoản đầu tư nắm giữ đến ngày đáo hạn
</t>
  </si>
  <si>
    <t xml:space="preserve">Tiền nộp Quỹ hỗ trợ thanh toán
</t>
  </si>
  <si>
    <t xml:space="preserve">Các khoản ký quỹ, đảm bảo
</t>
  </si>
  <si>
    <t xml:space="preserve">Giá trị ký quỹ
</t>
  </si>
  <si>
    <t>Giá trị đóng góp vào quỹ bù trừ của đối tác thanh toán trung tâm đối với vị thế mở của chính thành viên bù trừ</t>
  </si>
  <si>
    <t>A</t>
  </si>
  <si>
    <t>8</t>
  </si>
  <si>
    <t xml:space="preserve">Quỹ dự phòng tài chính và rủi ro nghiệp vụ
</t>
  </si>
  <si>
    <t xml:space="preserve">Quỹ khác thuộc vốn chủ sở hữu
</t>
  </si>
  <si>
    <t xml:space="preserve">Toàn bộ phần giảm đi hoặc tăng thêm của các chứng khoán tại chỉ tiêu đầu tư tài chính
</t>
  </si>
  <si>
    <t xml:space="preserve">Vốn khác (nếu có)
</t>
  </si>
  <si>
    <t xml:space="preserve">Các khoản phải thu khác
</t>
  </si>
  <si>
    <t xml:space="preserve">Lợi nhuận chưa phân phối
</t>
  </si>
  <si>
    <t xml:space="preserve">Các khoản nợ có thể chuyển đổi
</t>
  </si>
  <si>
    <t xml:space="preserve">Tổng                                                                                                         
</t>
  </si>
  <si>
    <t xml:space="preserve">Tài sản ngắn hạn                                                                                              
</t>
  </si>
  <si>
    <t>Chi phí trả trước ngắn hạn</t>
  </si>
  <si>
    <t xml:space="preserve">Vốn chủ sở hữu                                                                                         </t>
  </si>
  <si>
    <t xml:space="preserve">Tài sản tài chính                                                                   
</t>
  </si>
  <si>
    <t xml:space="preserve">Tiền và các khoản tương đương tiền
</t>
  </si>
  <si>
    <t xml:space="preserve">Các khoản cho vay
</t>
  </si>
  <si>
    <t xml:space="preserve">Tài sản tài chính sẵn sàng để bán (AFS)
</t>
  </si>
  <si>
    <t>15</t>
  </si>
  <si>
    <t>16</t>
  </si>
  <si>
    <t xml:space="preserve">Chứng quyền có bảo đảm chưa phát hành hết
</t>
  </si>
  <si>
    <t xml:space="preserve">Phải thu nội bộ
</t>
  </si>
  <si>
    <t xml:space="preserve">- Phải thu nội bộ có thời hạn thanh toán còn lại từ 90 ngày trở xuống
</t>
  </si>
  <si>
    <t xml:space="preserve">- Phải thu nội bộ có thời hạn thanh toán còn lại trên 90 ngày
</t>
  </si>
  <si>
    <t xml:space="preserve">Phải thu về lỗi giao dịch chứng khoán			
</t>
  </si>
  <si>
    <t>2.3</t>
  </si>
  <si>
    <t>III</t>
  </si>
  <si>
    <t>IV</t>
  </si>
  <si>
    <t>V</t>
  </si>
  <si>
    <t>7.2</t>
  </si>
  <si>
    <t>7.3</t>
  </si>
  <si>
    <t>9</t>
  </si>
  <si>
    <t>VI</t>
  </si>
  <si>
    <t>1C</t>
  </si>
  <si>
    <t>D</t>
  </si>
  <si>
    <t xml:space="preserve">Chênh lệch đánh giá tài sản theo giá trị hợp lý                                                                                   
</t>
  </si>
  <si>
    <t>1B</t>
  </si>
  <si>
    <t>C</t>
  </si>
  <si>
    <t>I</t>
  </si>
  <si>
    <t xml:space="preserve">Đầu tư dài hạn khác
</t>
  </si>
  <si>
    <t xml:space="preserve">Tài sản thuế thu nhập hoãn lại
</t>
  </si>
  <si>
    <t>- Các khoản phải thu có thời hạn thanh toán còn lại từ 90 ngày trở xuống</t>
  </si>
  <si>
    <t xml:space="preserve">- Phải thu còn hạn nhưng đối tác mất khả
năng thanh toán
</t>
  </si>
  <si>
    <t xml:space="preserve">Dự phòng suy giảm giá trị các khoản phải thu
</t>
  </si>
  <si>
    <t xml:space="preserve">Tài sản ngắn hạn khác
</t>
  </si>
  <si>
    <t xml:space="preserve">Tạm ứng
</t>
  </si>
  <si>
    <t>-Tạm ứng có thời hạn hoàn ứng còn lại từ 90
ngày trở xuống</t>
  </si>
  <si>
    <t xml:space="preserve">- Tạm ứng có thời hạn hoàn ứng còn lại trên
90 ngày
</t>
  </si>
  <si>
    <t xml:space="preserve">Dự phòng suy giảm giá trị tài sản ngắn hạn khác
</t>
  </si>
  <si>
    <t xml:space="preserve">Tài sản dài hạn
</t>
  </si>
  <si>
    <t xml:space="preserve">Tài sản tài chính dài hạn
</t>
  </si>
  <si>
    <t xml:space="preserve">Đầu tư vào công ty con
</t>
  </si>
  <si>
    <t xml:space="preserve">Chi phí xây dựng cơ bản dở dang
</t>
  </si>
  <si>
    <t xml:space="preserve">Cầm cố, thế chấp, ký quỹ, ký cược dài hạn
</t>
  </si>
  <si>
    <t xml:space="preserve">Phải thu các dịch vụ công ty chứng khoán cung cấp			</t>
  </si>
  <si>
    <t xml:space="preserve">Các chỉ tiêu tài sản bị coi là khoản ngoại trừ, có ý kiến trái ngược hoặc từ chối đưa ra ý kiến tại báo cáo tài chính đã được kiểm toán, soát xét mà không bị tính giảm trừ theo quy định tại Điều 6
</t>
  </si>
  <si>
    <t>Thuế giá trị gia tăng được khấu trừ</t>
  </si>
  <si>
    <t>Thuế và các khoản khác phải thu Nhà nước</t>
  </si>
  <si>
    <t>1A</t>
  </si>
  <si>
    <t>B</t>
  </si>
  <si>
    <t xml:space="preserve">Tài sản cố định
</t>
  </si>
  <si>
    <t xml:space="preserve">Bất động sản đầu tư
</t>
  </si>
  <si>
    <t xml:space="preserve">Chi phí trả trước dài hạn
</t>
  </si>
  <si>
    <t xml:space="preserve">Vốn khác của chủ sở hữu                                                                                    
</t>
  </si>
  <si>
    <t xml:space="preserve">Số dư dự phòng suy giảm giá trị tài sản
</t>
  </si>
  <si>
    <t xml:space="preserve">Chênh lệch đánh giá lại tài sản cố định
</t>
  </si>
  <si>
    <t xml:space="preserve">Quỹ dự trữ bổ sung vốn điều lệ                                                                              
</t>
  </si>
  <si>
    <t xml:space="preserve">Chênh lệch tỷ giá hối đoái
</t>
  </si>
  <si>
    <t xml:space="preserve">Ghi chú : </t>
  </si>
  <si>
    <t>1) Dấu √ là các chỉ tiêu cần tính toán
2) Khi xác định phần giảm trừ khỏi vốn khả dụng (mục B, C), tổ chức kinh
doanh chứng khoán được điều chỉnh giảm phần giá trị giảm trừ như sau:
- Đối với tài sản được dùng làm tài sản bảo đảm cho các nghĩa vụ của chính
tổ chức kinh doanh chứng khoán hoặc cho bên thứ ba (ví dụ như hợp đồng bán có
cam kết mua lại mà tổ chức kinh doanh chứng khoán là bên bán), thì khi tính giảm
trừ được giảm đi giá trị nhỏ nhất của các giá trị sau: giá trị thị trường của tài sản
xác định theo quy định tại Phụ lục II, giá trị sổ sách, giá trị còn lại của các nghĩa
vụ;
- Đối với tài sản được bảo đảm bằng tài sản của khách hàng (ví dụ như hợp
đồng giao dịch ký quỹ, giao dịch mua có cam kết bán lại mà tổ chức kinh doanh
chứng khoán là bên mua): thì khi tính giảm trừ được giảm đi giá trị nhỏ nhất của
các giá trị sau: giá trị thị trường của tài sản bảo đảm xác định theo quy định tại
khoản 6 Điều 10, giá trị sổ sách.
Trong đó, giá trị sổ sách là giá trị còn lại của tài sản bảo đảm (trong trường
hợp tài sản cố định) tại thời điểm giao kết hợp đồng hoặc giá trị xác định theo
phương pháp nội bộ của tổ chức kinh doanh chứng khoán tại thời điểm giao kết
hợp đồng (nếu là loại tài sản khác).</t>
  </si>
  <si>
    <t>...</t>
  </si>
  <si>
    <t>(3) = (1) x (2)</t>
  </si>
  <si>
    <t>(2)</t>
  </si>
  <si>
    <t>(1)</t>
  </si>
  <si>
    <t>Giá trị rủi ro</t>
  </si>
  <si>
    <t>Hệ số rủi ro (%)</t>
  </si>
  <si>
    <t>Các hạng mục đầu tư</t>
  </si>
  <si>
    <t>Quy mô rủi ro</t>
  </si>
  <si>
    <t>(Đơn vị tính: đồng)</t>
  </si>
  <si>
    <t>28</t>
  </si>
  <si>
    <t>80</t>
  </si>
  <si>
    <t>6.3</t>
  </si>
  <si>
    <t xml:space="preserve">Trái phiếu tổ chức tín dụng có thời gian đáo hạn còn từ 1 năm đến dưới 3 năm, kể cả trái phiếu chuyển đổi
</t>
  </si>
  <si>
    <t>Rủi ro tăng thêm (nếu có) (được xác định trên cơ sở vốn chủ sở hữu đã trích lập đầy đủ các khoản dự phòng)</t>
  </si>
  <si>
    <t>VII</t>
  </si>
  <si>
    <t>18</t>
  </si>
  <si>
    <t>19</t>
  </si>
  <si>
    <t>VIII</t>
  </si>
  <si>
    <t>20</t>
  </si>
  <si>
    <t>21</t>
  </si>
  <si>
    <t>IX</t>
  </si>
  <si>
    <t>27</t>
  </si>
  <si>
    <t>22</t>
  </si>
  <si>
    <t>23</t>
  </si>
  <si>
    <t>Trái phiếu không niêm yết do doanh nghiệp niêm yết phát hành có thời gian đáo hạn còn lại từ 1 năm đến dưới 3 năm, kể cả trái phiếu chuyển đổi</t>
  </si>
  <si>
    <t>8.4</t>
  </si>
  <si>
    <t xml:space="preserve">Trái phiếu doanh nghiệp                                                                                                                                                                                                                        
</t>
  </si>
  <si>
    <t xml:space="preserve">Trái phiếu niêm yết có thời gian đáo hạn còn lại dưới 1 năm, kể cả trái phiếu chuyển đổi                                                                                                                                                        
</t>
  </si>
  <si>
    <t>24</t>
  </si>
  <si>
    <t>25</t>
  </si>
  <si>
    <t>Trái phiếu không niêm yết do doanh nghiệp niêm yết phát hành có thời gian đáo hạn còn lại dưới 1 năm, kể cả trái phiếu chuyển đổi</t>
  </si>
  <si>
    <t xml:space="preserve">	Liệt kê kết quả xếp hạng tín nhiệm đối với trái phiếu/tổ chức phát hành (chi tiết từng trái phiếu/tổ chức phát hành):
-Nêu rõ tổ chức xếp hạng tín nhiệm, thời điểm công bố kết quả xếp hạng tín nhiệm và mức xếp hạng đối với trái phiếu/tổ chức phát hành.			
</t>
  </si>
  <si>
    <t xml:space="preserve">Cổ phiếu                                                                                             
</t>
  </si>
  <si>
    <t>Cổ phiếu phổ thông, cổ phiếu ưu đãi của các công ty đại chúng chưa niêm yết và đã đăng ký giao dịch qua hệ thống UpCom</t>
  </si>
  <si>
    <t>Quỹ thành viên</t>
  </si>
  <si>
    <t xml:space="preserve">Chứng khoán bị đình chỉ giao dịch                                                                                                                                                                                                    
</t>
  </si>
  <si>
    <t xml:space="preserve">Chứng khoán bị cảnh báo, kiểm, soát, hạn chế
giao dịch, tạm ngùng, đình chỉ, hủy, niêm yệt, hủy
giao dịch
</t>
  </si>
  <si>
    <t xml:space="preserve">Chứng quyền có bảo đảm do công ty chứng khoán phát hành
</t>
  </si>
  <si>
    <t xml:space="preserve">TỔNG GIÁ TRỊ RỦI RO THỊ TRƯỜNG (A= I+II+III+IV+V+VI+VII+VIII+IX)
</t>
  </si>
  <si>
    <t>0</t>
  </si>
  <si>
    <t>50</t>
  </si>
  <si>
    <t>30</t>
  </si>
  <si>
    <t>35</t>
  </si>
  <si>
    <t>40</t>
  </si>
  <si>
    <t>60</t>
  </si>
  <si>
    <t>100</t>
  </si>
  <si>
    <t xml:space="preserve">Chứng khoán khác                                                                                                                                                                                                                            
</t>
  </si>
  <si>
    <t xml:space="preserve">Giao dịch chênh lệch giá
</t>
  </si>
  <si>
    <t xml:space="preserve">Cách tính:
Giá trị rủi ro thị trường = Max {((P0 X Q0 /k- P1 X Q1) x r -MD), 0}
</t>
  </si>
  <si>
    <t>Phần chênh lệch dương giữa giá trị chứng khoán cơ sở dùng để phòng ngừa rủi ro và giá trị chứng khoán cơ sở cần thiết để phòng ngừa rủi ro cho chứng quyền có bảo đảm</t>
  </si>
  <si>
    <t>Mức tăng thêm</t>
  </si>
  <si>
    <t>Trái phiếu không niêm yết do doanh nghiệp niêm yết phát hành có thời gian đáo hạn còn lại từ 3 năm đến dưới 5 năm, kể cả trái phiếu chuyển đổi</t>
  </si>
  <si>
    <t>8.5</t>
  </si>
  <si>
    <t>17</t>
  </si>
  <si>
    <t>Chứng khoán bị cảnh báo</t>
  </si>
  <si>
    <t>70</t>
  </si>
  <si>
    <t xml:space="preserve">Trái phiếu niêm yết có thời gian đáo hạn còn lại từ 5 năm trở lên, kể cả trái phiếu chuyển đổi                                                                                                                                                    
</t>
  </si>
  <si>
    <t xml:space="preserve">Chứng chỉ quỹ đầu tư chứng khoán                                                                                                                                                                                                     
</t>
  </si>
  <si>
    <t xml:space="preserve">Hợp đồng tương lai trái phiếu chính phủ
</t>
  </si>
  <si>
    <t xml:space="preserve">Cổ phiếu niêm yết trên các thị trường nước ngoài thuộc chỉ số đạt chuẩn/các chỉ số được liệt kê tại Phụ lục VIII
</t>
  </si>
  <si>
    <t xml:space="preserve">Cổ phiếu niêm yết trên các thị trường nước ngoài không thuộc các chỉ số đạt chuẩn/các chỉ số được liệt kê tại Phụ lục VIII
</t>
  </si>
  <si>
    <t xml:space="preserve">Chứng quyền có bảo đảm niêm yết trên Sở giao dịch chứng khoán Thành phố Hồ Chí Minh
</t>
  </si>
  <si>
    <t xml:space="preserve">Trái phiếu niêm yết có thời gian đáo hạn còn lại từ 1 năm đến dưới 3 năm, kể cả trái phiếu chuyển đổi                                                                                                                                                     </t>
  </si>
  <si>
    <t>Mã chứng khoán</t>
  </si>
  <si>
    <t xml:space="preserve">Trái phiếu Chính phủ không trả lãi                                                                                                                                                                                                               
</t>
  </si>
  <si>
    <t xml:space="preserve">Quỹ đại chúng, công ty đầu tư chứng khoán đại chúng                                                                                                                                                                                                                 
</t>
  </si>
  <si>
    <t>7.4</t>
  </si>
  <si>
    <t>8.1</t>
  </si>
  <si>
    <t>8.2</t>
  </si>
  <si>
    <t>8.3</t>
  </si>
  <si>
    <t xml:space="preserve">Tiền mặt (VND)                                                                                                                                                                                                                                   
</t>
  </si>
  <si>
    <t xml:space="preserve">Các khoản tương đương tiền                                                                                                                                                                                                                
</t>
  </si>
  <si>
    <t xml:space="preserve">Giấy tờ có giá, công cụ chuyển nhượng trên thị trường tiền tệ, chứng chỉ tiền gửi                                                                                                                                                                         </t>
  </si>
  <si>
    <t>Chứng khoán hình thành từ hoạt động phòng ngừa rủi ro cho chứng quyền có bảo đảm do công ty chứng khoán đã phát hành (trường hợp chứng quyền có bảo đảm không có lãi)</t>
  </si>
  <si>
    <t>Cách tính:
Giá trị rủi ro = Max{((Giá trị thanh toán cuối ngày - giá trị chứng khoán mua vào
để đảm bảo cho nghĩa vụ thanh toán hợp đồng tương lai) x hệ số rủi ro của hợp
đồng tương lai - Giá trị ký quỹ (phần đóng góp vào quỹ bù trừ đối với vị thế mở
của công ty chứng khoán)), 0}.
Giá trị thanh toán cuối ngày = Giá thanh toán cuối ngày x khối lượng mở.</t>
  </si>
  <si>
    <t>29</t>
  </si>
  <si>
    <t>X</t>
  </si>
  <si>
    <t>Trái phiếu không niêm yết do doanh nghiệp niêm yết phát hành có thời gian đáo hạn còn lại từ 5 năm trở lên, kể cả trái phiếu chuyển đổi</t>
  </si>
  <si>
    <t xml:space="preserve">Cổ phiếu phổ thông, cổ phiếu ưu đãi của các tổ chức niêm yết tại Sở giao dịch chứng khoán                                                                                                                                               
</t>
  </si>
  <si>
    <t xml:space="preserve">Tiền và các khoản tương đương tiền, công cụ thị trường tiền tệ                                                                                                                                                                                   
</t>
  </si>
  <si>
    <t xml:space="preserve">Trái phiếu Chính phủ                                                                                                                                                                                                                            
</t>
  </si>
  <si>
    <t>Trái phiếu Chính phủ (bao gồm công trái và trái phiếu công trình đã phát hành trước đây), trái phiếu Chính phủ các nước thuộc khối OECD hoặc được bảo lãnh bởi Chính phủ hoặc Ngân hàng Trung ương của các nước thuộc khối này, trái phiếu được phát hành bởi các tổ chức quốc tế IBRD, ADB, IADB, AFDB, EIB và EBRD, Trái phiếu chính quyền địa phương.</t>
  </si>
  <si>
    <t xml:space="preserve">Công ty đầu tư chứng khoán riêng lẻ                                                                                                                                                                                                       </t>
  </si>
  <si>
    <t xml:space="preserve">Chứng khoán phái sinh                                                                                                                                                                                                                             
</t>
  </si>
  <si>
    <t xml:space="preserve">Trái phiếu niêm yết có thời gian đáo hạn còn lại từ 3 năm đến dưới 5 năm, kể cả trái phiếu chuyển đổi                                                                                                                                                     </t>
  </si>
  <si>
    <t>8.6</t>
  </si>
  <si>
    <t>Trái phiếu doanh nghiệp niêm yết</t>
  </si>
  <si>
    <t>Trái phiếu doanh nghiệp chưa niêm
yết</t>
  </si>
  <si>
    <t>Trái phiếu không niêm yết do doanh nghiệp khác phát hành có thời gian đáo hạn còn lại dưới 1 năm, kể cả trái phiếu chuyển đổi</t>
  </si>
  <si>
    <t>Trái phiếu không niêm yết do doanh nghiệp khác phát hành có thời gian đáo hạn còn lại từ 3 năm đến dưới 5 năm, kể cả trái phiếu chuyển đổi</t>
  </si>
  <si>
    <t>Trái phiếu không niêm yết do doanh nghiệp khác phát hành có thời gian đáo hạn còn lại từ 5 năm trở lên, kể cả trái phiếu chuyển đổi</t>
  </si>
  <si>
    <t>Chứng khoán bị kiểm soát</t>
  </si>
  <si>
    <t>Cách tính:
Giá trị rủi ro = Max {((Giá trị thanh toán cuối ngày - giá trị chứng khoán mua vào
để đảm bảo cho nghĩa vụ thanh toán hợp đồng tương lai) x hệ số rủi ro của hợp
đồng tương lai - Giá trị ký quỹ (phần đóng góp vào quỹ bù trừ đối với vị thế mở
của công ty chứng khoán)), 0}.
Giá trị thanh toán cuối ngày = Giá thanh toán cuối ngày x khối lượng mở.</t>
  </si>
  <si>
    <t>Chứng khoán bị hủy niêm yết, hủy giao dịch</t>
  </si>
  <si>
    <t xml:space="preserve">Hợp đồng tương lai chỉ số cổ phiếu
</t>
  </si>
  <si>
    <t>6.2</t>
  </si>
  <si>
    <t>6.4</t>
  </si>
  <si>
    <t xml:space="preserve">Cổ phiếu phổ thông, cổ phiếu ưu đãi của các công ty đại chúng đã đăng ký lưu ký, nhưng chưa niêm yết hoặc đăng ký giao dịch; cổ phiếu đang trong đợt phát hành lần đầu (IPO)                                                                    
</t>
  </si>
  <si>
    <t>Trái phiếu tổ chức tín dụng có thời gian đáo hạn còn lại từ 3 năm đến dưới 5 năm, kể cả trái phiếu chuyển đổi</t>
  </si>
  <si>
    <t>Trái phiếu tổ chức tín dụng có thời gian đáo hạn còn lại từ 5 năm trở lên, kể cả trái phiếu chuyển đổi</t>
  </si>
  <si>
    <t>8.7</t>
  </si>
  <si>
    <t>8.8</t>
  </si>
  <si>
    <t xml:space="preserve"> Trái phiếu niêm yết và chưa niêm yết của tố chức tín
dung</t>
  </si>
  <si>
    <t>6.1</t>
  </si>
  <si>
    <t xml:space="preserve">Trái phiếu không niêm yết do doanh nghiệp khác phát hành có thời gian đáo hạn còn lại từ 1 năm đến dưới 3 năm, kể cả trái phiếu chuyển đổi </t>
  </si>
  <si>
    <t>Chứng khoán niêm yết bị kiểm soát</t>
  </si>
  <si>
    <t>26</t>
  </si>
  <si>
    <t>Cổ phần, phần vốn góp, các loại chứng khoán khác và các tài sản đầu tư khác</t>
  </si>
  <si>
    <t>Trái phiếu tổ chức tín dụng có thời gian đáo hạn còn lại dưới 1 năm, kể cả trái phiếu chuyển đổi</t>
  </si>
  <si>
    <t>Chỉ tiêu</t>
  </si>
  <si>
    <t xml:space="preserve">Rủi ro trước thời hạn thanh toán
</t>
  </si>
  <si>
    <t xml:space="preserve">Rủi ro tăng thêm
</t>
  </si>
  <si>
    <t xml:space="preserve">Tổng giá trị rủi ro thanh toán
</t>
  </si>
  <si>
    <t xml:space="preserve">Rủi ro quá thời hạn thanh toán
</t>
  </si>
  <si>
    <t xml:space="preserve">Rủi ro từ các khoản tạm ứng, hợp đồng, giao dịch khác </t>
  </si>
  <si>
    <t xml:space="preserve">0,8%
</t>
  </si>
  <si>
    <t xml:space="preserve">3,2%
</t>
  </si>
  <si>
    <t xml:space="preserve">8%
</t>
  </si>
  <si>
    <t xml:space="preserve">0%
</t>
  </si>
  <si>
    <t xml:space="preserve">6%
</t>
  </si>
  <si>
    <t xml:space="preserve">4,8%
</t>
  </si>
  <si>
    <t xml:space="preserve">Giá trị rủi ro (VND)					
</t>
  </si>
  <si>
    <t xml:space="preserve">Tổng giá trị rủi ro
</t>
  </si>
  <si>
    <t xml:space="preserve">Hệ số rủi ro % Loại hình giao dịch
</t>
  </si>
  <si>
    <t xml:space="preserve">Vay tài sản tài chính /Các thỏa thuận kinh tế có cùng bản chất                                                                                             
</t>
  </si>
  <si>
    <t xml:space="preserve">Tiền gửi có kỳ hạn, chứng chỉ tiền gửi, các khoản tiền cho vay không có tài sản bảo đảm, các khoản phải thu từ hoạt động kinh doanh chứng khoán và các khoản mục tiềm ẩn rủi ro thanh toán khác </t>
  </si>
  <si>
    <t xml:space="preserve">Cho vay tài sản tài chính /Các thỏa thuận kinh tế có cùng bản chất                                                                            
</t>
  </si>
  <si>
    <t xml:space="preserve">Hợp đồng mua tài sản tài chính có cam kết bán lại /Các thỏa thuận kinh tế có cùng bản chất                                                                  
</t>
  </si>
  <si>
    <t xml:space="preserve">Hợp đồng bán tài sản tài chính có cam kết mua lại /Các thỏa thuận kinh tế có cùng bản chất                                                                 
</t>
  </si>
  <si>
    <t xml:space="preserve">TỔNG RỦI RO TRƯỚC THỜI HẠN THANH TOÁN
</t>
  </si>
  <si>
    <t>Thời gian quá hạn</t>
  </si>
  <si>
    <t>48</t>
  </si>
  <si>
    <t>32</t>
  </si>
  <si>
    <t xml:space="preserve">Từ 0 đến 15 ngày sau thời hạn thanh toán, chuyển giao chứng khoán
</t>
  </si>
  <si>
    <t xml:space="preserve">Từ 16 đến 30 ngày sau thời hạn thanh toán, chuyển giao chứng khoán
</t>
  </si>
  <si>
    <t>Trên 60 ngày sau thời hạn thanh toán,
chuyển giao chứng khoán</t>
  </si>
  <si>
    <t>TỔNG RỦI RO QUÁ THỜI HẠN THANH TOÁN</t>
  </si>
  <si>
    <t xml:space="preserve">Từ 31 đến 60 ngày sau thời hạn thanh toán, chuyển giao chứng khoán
</t>
  </si>
  <si>
    <t>TT</t>
  </si>
  <si>
    <t>Chi tiết tới từng đối tượng</t>
  </si>
  <si>
    <t>- Các khoản cho vay, phải thu khách hàng khác không thuộc điểm đ, g khoản 1 Điều 10 (chi tiết từng đối tượng)</t>
  </si>
  <si>
    <t>1.4.2</t>
  </si>
  <si>
    <t>1.4.1</t>
  </si>
  <si>
    <t>+ Chiếm từ 0% đến 2% vốn chủ sở hữu tại thời điểm tính toán</t>
  </si>
  <si>
    <t>150</t>
  </si>
  <si>
    <t>1.4</t>
  </si>
  <si>
    <t>- Các hợp đồng, giao dịch khác (chi tiết từng đối tượng)</t>
  </si>
  <si>
    <t>- Khoản tạm ứng (chi tiết từng đối tượng):</t>
  </si>
  <si>
    <t>+ Chiếm từ 5% trở lên vốn chủ sở hữu tại thời điểm tính toán.</t>
  </si>
  <si>
    <t>1.4.3</t>
  </si>
  <si>
    <t>+ Chiếm trên 2% đến dưới 5% vốn chủ sở hữu tại thời điểm tính toán</t>
  </si>
  <si>
    <t>TỔNG RỦI RO HỢP ĐỒNG, GIAO DỊCH KHÁC</t>
  </si>
  <si>
    <t>- Hợp đồng, thỏa thuận đặt cọc mua bất động sản, các thỏa thuận kinh tế có cùng bản chất (chi tiết từng đối tượng)</t>
  </si>
  <si>
    <t>Các hợp đồng, giao dịch, các khoản sử dụng vốn ngoài các giao dịch, hợp đồng được ghi nhận ở các điểm a, b, c, d, đ, e, g khoản 1 Điều 10; các hợp đồng cam kết mua lại, bán lại chứng khoán hoặc các hợp đồng có tính chất tương tự trừ các hợp đồng quy định tại điểm c, d khoản 1 Điều 10; các khoản phải thu từ mua bán nợ với đối tác giao dịch không phải Công ty Quản lý tài sản của các tổ chức tín dụng Việt Nam (VAMC), Công ty trách nhiệm hữu hạn mua bán nợ Việt Nam (DATC)</t>
  </si>
  <si>
    <t>Chi tiết tới từng đối tác</t>
  </si>
  <si>
    <t xml:space="preserve">TỔNG RỦI RO TĂNG THÊM
</t>
  </si>
  <si>
    <t>Giá trị</t>
  </si>
  <si>
    <t xml:space="preserve">TỔNG GIÁ TRỊ RỦI RO HOẠT ĐỘNG (MAX {IV, V})
</t>
  </si>
  <si>
    <t xml:space="preserve">Tổng chi phí sau khi giảm trừ (III = I – II)
</t>
  </si>
  <si>
    <t xml:space="preserve">RỦI RO HOẠT ĐỘNG </t>
  </si>
  <si>
    <t xml:space="preserve">Tổng chi phí hoạt động phát sinh trong vòng 12 tháng tính tới tháng xx năm 20xx
</t>
  </si>
  <si>
    <t xml:space="preserve">Chi phí khấu hao                                    
</t>
  </si>
  <si>
    <t>Chi phí tài chính và các chi phí không bằng tiền khác trong hoạt động kinh doanh của công ty</t>
  </si>
  <si>
    <t>Chi phí hoặc thu nhập khoản chênh lệch tỷ giá hối đoái chưa thực hiện</t>
  </si>
  <si>
    <t xml:space="preserve">25% Tổng chi phí sau khi giảm trừ (IV = 25% III)
</t>
  </si>
  <si>
    <t xml:space="preserve">Các khoản giảm trừ khỏi tổng chi phí
</t>
  </si>
  <si>
    <t>20% vốn điều lệ tối thiểu cho các nghiệp vụ kinh doanh của công ty chứng khoán</t>
  </si>
  <si>
    <t xml:space="preserve">Chi phí/Hoàn nhập dự phòng suy giảm giá trị các tài sản tài chính dài hạn
</t>
  </si>
  <si>
    <t xml:space="preserve">Chi phí/Hoàn nhập dự phòng suy giảm giá trị các khoản phải thu
</t>
  </si>
  <si>
    <t xml:space="preserve">Chi phí/Hoàn nhập dự phòng suy giảm giá trị tài sản ngắn hạn khác
</t>
  </si>
  <si>
    <t>Chi phí chênh lệch do đánh giá lại phải trả chứng quyền đang lưu hành</t>
  </si>
  <si>
    <t>Chi phí lãi vay</t>
  </si>
  <si>
    <t xml:space="preserve">Chi phí/Hoàn nhập dự phòng suy giảm giá trị các tài sản tài chính và tài sản thế chấp
</t>
  </si>
  <si>
    <t xml:space="preserve">Chi phí chênh lệch giảm về đánh giá lại các tài sản tài chính ghi nhận thông qua lãi/lỗ
</t>
  </si>
  <si>
    <t>Các chỉ tiêu</t>
  </si>
  <si>
    <t>Đơn vị tính</t>
  </si>
  <si>
    <t>Giá trị rủi ro/ Vốn khả dụng</t>
  </si>
  <si>
    <t>đồng</t>
  </si>
  <si>
    <t>%</t>
  </si>
  <si>
    <t xml:space="preserve">Tỷ lệ Vốn khả dụng (6=5/4)
</t>
  </si>
  <si>
    <t xml:space="preserve">Tổng giá trị rủi ro thị trường
</t>
  </si>
  <si>
    <t xml:space="preserve">Tổng giá trị rủi ro hoạt động 
</t>
  </si>
  <si>
    <t xml:space="preserve">Tổng giá trị rủi ro (4=1+2+3)
</t>
  </si>
  <si>
    <t xml:space="preserve">Vốn khả dụng
</t>
  </si>
  <si>
    <t xml:space="preserve"> </t>
  </si>
  <si>
    <t>Công ty cổ phần Thời Đại Mới T&amp;T</t>
  </si>
  <si>
    <t>Chứng chỉ tiền gửi Ngân hàng thương mại cổ phần Á Châu</t>
  </si>
  <si>
    <t>Trái phiếu Công ty cổ phần Sài Gòn Capital</t>
  </si>
  <si>
    <t>Ngân hàng TMCP An Bình</t>
  </si>
  <si>
    <t>Công ty Cổ phần Đầu tư và Du lịch Vạn Hương - Tổ chức xếp hạng tín nhiệm: FiinRatings; ngày xếp hạng: 10/04/2025; xếp hạng tín nhiệm dài hạn: B</t>
  </si>
  <si>
    <t>Ngân hàng TMCP Công Thương Việt Nam - Fitch Ratings: BB+ (ngày xếp hạng: 05/05/2026); Moody’s: Ba2 (ngày xếp hạng: 04/05/2026)</t>
  </si>
  <si>
    <t>Ngân hàng TMCP Đầu tư và Phát triển Việt Nam - Tổ chức xếp hạng tín nhiệm: Moody’s; ngày xếp hạng: 22/01/2026; xếp hạng tín nhiệm dài hạn: Ba2</t>
  </si>
  <si>
    <t>Công ty TNHH Aqua City Hòa Bình - Tổ chức xếp hạng tín nhiệm: SaigonRatings; ngày xếp hạng: 12/04/2024; xếp hạng tín nhiệm lần đầu: vnBB- (hết hiệu lực ngày 19/02/2025)</t>
  </si>
  <si>
    <t>Công ty Cổ phần Phát triển Tổng hợp Hưng Thịnh Phát - Không xếp hạng tín nhiệm</t>
  </si>
  <si>
    <t>Công ty Cổ phần Sài Gòn Capital - Không xếp hạng tín nhiệm</t>
  </si>
  <si>
    <t>Công ty TNHH Đầu tư Xây dựng Thiên Hà - Băng Dương - Không xếp hạng tín nhiệm</t>
  </si>
  <si>
    <t>Công ty TNHH Khu đô thị mới Trung Minh - Tổ chức xếp hạng tín nhiệm: SaigonRatings; ngày xếp hạng: 12/04/2024; xếp hạng tín nhiệm lần đầu: vnBB- (hết hiệu lực ngày 19/02/2025)</t>
  </si>
  <si>
    <t>Công ty Cổ phần Đầu tư và Phát triển Newco - Tổ chức xếp hạng tín nhiệm: SaigonRatings; ngày xếp hạng: 25/05/2026; xếp hạng tín nhiệm năm thứ hai: vnBB-</t>
  </si>
  <si>
    <t>Công ty Cổ phần Thời Đại Mới T&amp;T - Tổ chức xếp hạng tín nhiệm: SaigonRatings; ngày xếp hạng: 18/09/2025; xếp hạng tín nhiệm lần đầu: vnBB+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</si>
</sst>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 _₫_-;\-* #,##0.00\ _₫_-;_-* &quot;-&quot;??\ _₫_-;_-@_-"/>
    <numFmt numFmtId="165" formatCode="_(* #,##0_);_(* \(#,##0\);_(* &quot;-&quot;??_);_(@_)"/>
  </numFmts>
  <fonts count="1091" x14ac:knownFonts="1">
    <font>
      <sz val="11"/>
      <color theme="1"/>
      <name val="Calibri"/>
      <family val="2"/>
      <scheme val="minor"/>
    </font>
    <font>
      <sz val="10"/>
      <name val="Arial"/>
      <family val="2"/>
    </font>
    <font>
      <sz val="11"/>
      <color theme="1"/>
      <name val="Times New Roman"/>
      <family val="1"/>
    </font>
    <font>
      <b/>
      <sz val="14"/>
      <color theme="1"/>
      <name val="Times New Roman"/>
      <family val="1"/>
    </font>
    <font>
      <i/>
      <sz val="11"/>
      <color theme="1"/>
      <name val="Times New Roman"/>
      <family val="1"/>
    </font>
    <font>
      <b/>
      <sz val="11"/>
      <color theme="1"/>
      <name val="Times New Roman"/>
      <family val="1"/>
    </font>
    <font>
      <sz val="12"/>
      <color theme="1"/>
      <name val="Times New Roman"/>
      <family val="1"/>
    </font>
    <font>
      <sz val="11"/>
      <name val="Times New Roman"/>
      <family val="1"/>
    </font>
    <font>
      <b/>
      <sz val="12"/>
      <color theme="1"/>
      <name val="Times New Roman"/>
      <family val="1"/>
    </font>
    <font>
      <i/>
      <sz val="12"/>
      <color theme="1"/>
      <name val="Times New Roman"/>
      <family val="1"/>
    </font>
    <font>
      <i/>
      <sz val="11"/>
      <name val="Times New Roman"/>
      <family val="1"/>
    </font>
    <font>
      <b/>
      <sz val="11"/>
      <name val="Times New Roman"/>
      <family val="1"/>
    </font>
    <font>
      <b/>
      <u/>
      <sz val="11"/>
      <color theme="1"/>
      <name val="Times New Roman"/>
      <family val="1"/>
    </font>
    <font>
      <sz val="13"/>
      <name val="Times New Roman"/>
      <family val="1"/>
    </font>
    <font>
      <sz val="11"/>
      <color indexed="0"/>
      <name val="Times New Roman"/>
      <family val="1"/>
    </font>
    <font>
      <b/>
      <sz val="11"/>
      <name val="Times New Roman"/>
      <family val="1"/>
    </font>
    <font>
      <b/>
      <sz val="13"/>
      <color indexed="0"/>
      <name val="Times New Roman"/>
      <family val="1"/>
    </font>
    <font>
      <b/>
      <sz val="11"/>
      <color indexed="0"/>
      <name val="Times New Roman"/>
      <family val="1"/>
    </font>
    <font>
      <b/>
      <sz val="11"/>
      <color indexed="0"/>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sz val="11"/>
      <color indexed="0"/>
      <name val="Times New Roman"/>
      <family val="1"/>
    </font>
    <font>
      <u/>
      <sz val="11"/>
      <color indexed="12"/>
      <name val="Times New Roman"/>
      <family val="1"/>
    </font>
    <font>
      <i/>
      <sz val="11"/>
      <color indexed="0"/>
      <name val="Times New Roman"/>
      <family val="1"/>
    </font>
    <font>
      <sz val="13"/>
      <name val="Times New Roman"/>
      <family val="1"/>
    </font>
    <font>
      <b/>
      <sz val="14"/>
      <color indexed="9"/>
      <name val="Times New Roman"/>
      <family val="1"/>
    </font>
    <font>
      <i/>
      <sz val="14"/>
      <color indexed="8"/>
      <name val="Times New Roman"/>
      <family val="1"/>
    </font>
    <font>
      <b/>
      <sz val="14"/>
      <color indexed="9"/>
      <name val="Times New Roman"/>
      <family val="1"/>
    </font>
    <font>
      <b/>
      <sz val="16"/>
      <color indexed="8"/>
      <name val="Times New Roman"/>
      <family val="1"/>
    </font>
    <font>
      <i/>
      <sz val="14"/>
      <color indexed="8"/>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i/>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i/>
      <sz val="13"/>
      <color indexed="0"/>
      <name val="Times New Roman"/>
      <family val="1"/>
    </font>
    <font>
      <i/>
      <sz val="13"/>
      <color indexed="0"/>
      <name val="Times New Roman"/>
      <family val="1"/>
    </font>
    <font>
      <i/>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i/>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i/>
      <u/>
      <sz val="13"/>
      <color indexed="0"/>
      <name val="Times New Roman"/>
      <family val="1"/>
    </font>
    <font>
      <sz val="13"/>
      <color indexed="0"/>
      <name val="Times New Roman"/>
      <family val="1"/>
    </font>
    <font>
      <sz val="13"/>
      <name val="Times New Roman"/>
      <family val="1"/>
    </font>
    <font>
      <b/>
      <sz val="14"/>
      <color indexed="9"/>
      <name val="Times New Roman"/>
      <family val="1"/>
    </font>
    <font>
      <i/>
      <sz val="14"/>
      <color indexed="8"/>
      <name val="Times New Roman"/>
      <family val="1"/>
    </font>
    <font>
      <b/>
      <sz val="14"/>
      <color indexed="9"/>
      <name val="Times New Roman"/>
      <family val="1"/>
    </font>
    <font>
      <b/>
      <sz val="16"/>
      <color indexed="8"/>
      <name val="Times New Roman"/>
      <family val="1"/>
    </font>
    <font>
      <i/>
      <sz val="14"/>
      <color indexed="8"/>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i/>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6"/>
      <color indexed="8"/>
      <name val="Times New Roman"/>
      <family val="1"/>
    </font>
    <font>
      <i/>
      <sz val="14"/>
      <color indexed="8"/>
      <name val="Times New Roman"/>
      <family val="1"/>
    </font>
    <font>
      <b/>
      <sz val="14"/>
      <color indexed="9"/>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4"/>
      <color indexed="9"/>
      <name val="Times New Roman"/>
      <family val="1"/>
    </font>
    <font>
      <i/>
      <sz val="14"/>
      <color indexed="8"/>
      <name val="Times New Roman"/>
      <family val="1"/>
    </font>
    <font>
      <b/>
      <sz val="14"/>
      <color indexed="9"/>
      <name val="Times New Roman"/>
      <family val="1"/>
    </font>
    <font>
      <b/>
      <sz val="16"/>
      <color indexed="8"/>
      <name val="Times New Roman"/>
      <family val="1"/>
    </font>
    <font>
      <i/>
      <sz val="14"/>
      <color indexed="8"/>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6"/>
      <color indexed="8"/>
      <name val="Times New Roman"/>
      <family val="1"/>
    </font>
    <font>
      <i/>
      <sz val="14"/>
      <color indexed="8"/>
      <name val="Times New Roman"/>
      <family val="1"/>
    </font>
    <font>
      <b/>
      <sz val="14"/>
      <color indexed="9"/>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name val="Times New Roman"/>
      <family val="1"/>
    </font>
    <font>
      <b/>
      <sz val="16"/>
      <color indexed="8"/>
      <name val="Times New Roman"/>
      <family val="1"/>
    </font>
    <font>
      <b/>
      <sz val="14"/>
      <color indexed="9"/>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name val="Times New Roman"/>
      <family val="1"/>
    </font>
    <font>
      <b/>
      <sz val="16"/>
      <color indexed="8"/>
      <name val="Times New Roman"/>
      <family val="1"/>
    </font>
    <font>
      <i/>
      <sz val="14"/>
      <color indexed="8"/>
      <name val="Times New Roman"/>
      <family val="1"/>
    </font>
    <font>
      <b/>
      <sz val="14"/>
      <color indexed="9"/>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6"/>
      <color indexed="8"/>
      <name val="Times New Roman"/>
      <family val="1"/>
    </font>
    <font>
      <i/>
      <sz val="14"/>
      <color indexed="8"/>
      <name val="Times New Roman"/>
      <family val="1"/>
    </font>
    <font>
      <b/>
      <sz val="14"/>
      <color indexed="9"/>
      <name val="Times New Roman"/>
      <family val="1"/>
    </font>
    <font>
      <b/>
      <sz val="13"/>
      <color indexed="0"/>
      <name val="Times New Roman"/>
      <family val="1"/>
    </font>
    <font>
      <b/>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6"/>
      <color indexed="8"/>
      <name val="Times New Roman"/>
      <family val="1"/>
    </font>
    <font>
      <b/>
      <sz val="14"/>
      <color indexed="9"/>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b/>
      <sz val="13"/>
      <color indexed="0"/>
      <name val="Times New Roman"/>
      <family val="1"/>
    </font>
    <font>
      <b/>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3"/>
      <color indexed="0"/>
      <name val="Times New Roman"/>
      <family val="1"/>
    </font>
    <font>
      <sz val="11"/>
      <color theme="1"/>
      <name val="Calibri"/>
      <family val="2"/>
      <scheme val="minor"/>
    </font>
    <font>
      <sz val="10"/>
      <color indexed="8"/>
      <name val="Times New Roman"/>
      <family val="1"/>
    </font>
    <font>
      <b/>
      <sz val="13"/>
      <name val="Times New Roman"/>
      <family val="1"/>
    </font>
  </fonts>
  <fills count="7">
    <fill>
      <patternFill patternType="none"/>
    </fill>
    <fill>
      <patternFill patternType="gray125"/>
    </fill>
    <fill>
      <patternFill patternType="solid">
        <fgColor theme="9" tint="0.39997558519241921"/>
        <bgColor indexed="64"/>
      </patternFill>
    </fill>
    <fill>
      <patternFill patternType="none">
        <fgColor indexed="9"/>
        <bgColor indexed="17"/>
      </patternFill>
    </fill>
    <fill>
      <patternFill patternType="solid">
        <fgColor indexed="17"/>
        <bgColor indexed="17"/>
      </patternFill>
    </fill>
    <fill>
      <patternFill patternType="none">
        <fgColor indexed="9"/>
      </patternFill>
    </fill>
    <fill>
      <patternFill patternType="solid">
        <fgColor indexed="9"/>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11">
    <xf numFmtId="0" fontId="0" fillId="0" borderId="0"/>
    <xf numFmtId="0" fontId="1" fillId="0" borderId="0"/>
    <xf numFmtId="43" fontId="1" fillId="0" borderId="0" quotePrefix="1" applyFont="0" applyFill="0" applyBorder="0" applyAlignment="0">
      <protection locked="0"/>
    </xf>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quotePrefix="1" applyFont="0" applyFill="0" applyBorder="0" applyAlignment="0">
      <protection locked="0"/>
    </xf>
    <xf numFmtId="164" fontId="1" fillId="0" borderId="0" applyFont="0" applyFill="0" applyBorder="0" applyAlignment="0" applyProtection="0"/>
    <xf numFmtId="9" fontId="1088" fillId="0" borderId="0" applyFont="0" applyFill="0" applyBorder="0" applyAlignment="0" applyProtection="0"/>
    <xf numFmtId="43" fontId="1088" fillId="0" borderId="0" applyFont="0" applyFill="0" applyBorder="0" applyAlignment="0" applyProtection="0"/>
    <xf numFmtId="0" fontId="1088" fillId="5" borderId="0"/>
  </cellStyleXfs>
  <cellXfs count="1116">
    <xf numFmtId="0" fontId="0" fillId="0" borderId="0" xfId="0"/>
    <xf numFmtId="0" fontId="2" fillId="0" borderId="0" xfId="0" applyFont="1"/>
    <xf numFmtId="0" fontId="6" fillId="0" borderId="0" xfId="0" applyFont="1"/>
    <xf numFmtId="0" fontId="5" fillId="0" borderId="0" xfId="1" applyFont="1" applyAlignment="1">
      <alignment horizontal="center"/>
    </xf>
    <xf numFmtId="0" fontId="8" fillId="2" borderId="1" xfId="0" applyFont="1" applyFill="1" applyBorder="1"/>
    <xf numFmtId="0" fontId="8" fillId="2" borderId="1" xfId="0" applyFont="1" applyFill="1" applyBorder="1" applyAlignment="1">
      <alignment horizontal="center"/>
    </xf>
    <xf numFmtId="0" fontId="5" fillId="0" borderId="0" xfId="1" applyFont="1"/>
    <xf numFmtId="0" fontId="4" fillId="0" borderId="0" xfId="0" applyFont="1" applyAlignment="1">
      <alignment vertical="center"/>
    </xf>
    <xf numFmtId="0" fontId="10" fillId="0" borderId="0" xfId="0" applyFont="1" applyAlignment="1">
      <alignment horizontal="center" vertical="center" wrapText="1"/>
    </xf>
    <xf numFmtId="0" fontId="7" fillId="0" borderId="0" xfId="0" applyFont="1"/>
    <xf numFmtId="0" fontId="12" fillId="0" borderId="0" xfId="0" applyFont="1"/>
    <xf numFmtId="0" fontId="11" fillId="0" borderId="0" xfId="0" applyFont="1" applyAlignment="1"/>
    <xf numFmtId="0" fontId="13" fillId="3" borderId="3" xfId="0" applyFont="1" applyFill="1" applyBorder="1" applyAlignment="1">
      <alignment horizontal="left" vertical="top" wrapText="1"/>
    </xf>
    <xf numFmtId="0" fontId="14" fillId="0" borderId="3" xfId="0" applyFont="1" applyBorder="1" applyAlignment="1">
      <alignment horizontal="left" vertical="top"/>
    </xf>
    <xf numFmtId="0" fontId="15" fillId="0" borderId="0" xfId="0" applyFont="1" applyAlignment="1">
      <alignment horizontal="center" vertical="center"/>
    </xf>
    <xf numFmtId="0" fontId="16" fillId="0" borderId="0" xfId="0" applyNumberFormat="1" applyFont="1" applyAlignment="1">
      <alignment horizontal="left" vertical="top" wrapText="1"/>
    </xf>
    <xf numFmtId="0" fontId="17" fillId="0" borderId="0" xfId="0" applyNumberFormat="1" applyFont="1" applyAlignment="1">
      <alignment horizontal="center" vertical="top" wrapText="1"/>
    </xf>
    <xf numFmtId="0" fontId="19" fillId="0" borderId="3" xfId="0" applyFont="1" applyBorder="1" applyAlignment="1">
      <alignment horizontal="center" vertical="top"/>
    </xf>
    <xf numFmtId="0" fontId="20" fillId="0" borderId="3" xfId="0" applyFont="1" applyBorder="1" applyAlignment="1">
      <alignment horizontal="left" vertical="top"/>
    </xf>
    <xf numFmtId="0" fontId="21" fillId="0" borderId="3" xfId="0" applyFont="1" applyBorder="1" applyAlignment="1">
      <alignment horizontal="center" vertical="top"/>
    </xf>
    <xf numFmtId="0" fontId="22" fillId="0" borderId="3" xfId="0" applyFont="1" applyBorder="1" applyAlignment="1">
      <alignment horizontal="left" vertical="top"/>
    </xf>
    <xf numFmtId="0" fontId="23" fillId="0" borderId="3" xfId="0" applyFont="1" applyBorder="1" applyAlignment="1">
      <alignment horizontal="center" vertical="top"/>
    </xf>
    <xf numFmtId="0" fontId="24" fillId="0" borderId="3" xfId="0" applyFont="1" applyBorder="1" applyAlignment="1">
      <alignment horizontal="left" vertical="top"/>
    </xf>
    <xf numFmtId="0" fontId="25" fillId="0" borderId="3" xfId="0" applyFont="1" applyBorder="1" applyAlignment="1">
      <alignment horizontal="center" vertical="top"/>
    </xf>
    <xf numFmtId="0" fontId="26" fillId="0" borderId="3" xfId="0" applyFont="1" applyBorder="1" applyAlignment="1">
      <alignment horizontal="left" vertical="top"/>
    </xf>
    <xf numFmtId="0" fontId="27" fillId="0" borderId="3" xfId="0" applyFont="1" applyBorder="1" applyAlignment="1">
      <alignment horizontal="center" vertical="top"/>
    </xf>
    <xf numFmtId="0" fontId="28" fillId="0" borderId="3" xfId="0" applyFont="1" applyBorder="1" applyAlignment="1">
      <alignment horizontal="left" vertical="top"/>
    </xf>
    <xf numFmtId="0" fontId="29" fillId="0" borderId="3" xfId="0" applyFont="1" applyBorder="1" applyAlignment="1">
      <alignment horizontal="center" vertical="top"/>
    </xf>
    <xf numFmtId="0" fontId="30" fillId="0" borderId="3" xfId="0" applyFont="1" applyBorder="1" applyAlignment="1">
      <alignment horizontal="left" vertical="top"/>
    </xf>
    <xf numFmtId="0" fontId="31" fillId="0" borderId="3" xfId="0" applyFont="1" applyBorder="1" applyAlignment="1">
      <alignment horizontal="center" vertical="top"/>
    </xf>
    <xf numFmtId="0" fontId="32" fillId="0" borderId="3" xfId="0" applyFont="1" applyBorder="1" applyAlignment="1">
      <alignment horizontal="left" vertical="top"/>
    </xf>
    <xf numFmtId="0" fontId="33" fillId="0" borderId="3" xfId="0" applyFont="1" applyBorder="1" applyAlignment="1">
      <alignment horizontal="center" vertical="top"/>
    </xf>
    <xf numFmtId="0" fontId="34" fillId="0" borderId="3" xfId="0" applyFont="1" applyBorder="1" applyAlignment="1">
      <alignment horizontal="left" vertical="top"/>
    </xf>
    <xf numFmtId="0" fontId="35" fillId="0" borderId="3" xfId="0" applyFont="1" applyBorder="1" applyAlignment="1">
      <alignment horizontal="center" vertical="top"/>
    </xf>
    <xf numFmtId="0" fontId="36" fillId="0" borderId="3" xfId="0" applyFont="1" applyBorder="1" applyAlignment="1">
      <alignment horizontal="left" vertical="top"/>
    </xf>
    <xf numFmtId="0" fontId="37" fillId="0" borderId="0" xfId="0" applyNumberFormat="1" applyFont="1" applyAlignment="1">
      <alignment horizontal="left" vertical="top" wrapText="1"/>
    </xf>
    <xf numFmtId="0" fontId="38" fillId="3" borderId="3" xfId="0" applyFont="1" applyFill="1" applyBorder="1" applyAlignment="1">
      <alignment horizontal="left" vertical="top" wrapText="1"/>
    </xf>
    <xf numFmtId="0" fontId="44" fillId="5" borderId="3" xfId="0" applyFont="1" applyFill="1" applyBorder="1" applyAlignment="1">
      <alignment horizontal="left" vertical="top" wrapText="1"/>
    </xf>
    <xf numFmtId="0" fontId="45" fillId="5" borderId="3" xfId="0" applyFont="1" applyFill="1" applyBorder="1" applyAlignment="1">
      <alignment horizontal="left" vertical="top" wrapText="1"/>
    </xf>
    <xf numFmtId="0" fontId="46" fillId="5" borderId="3" xfId="0" applyFont="1" applyFill="1" applyBorder="1" applyAlignment="1">
      <alignment horizontal="left" vertical="top" wrapText="1"/>
    </xf>
    <xf numFmtId="0" fontId="47" fillId="5" borderId="3" xfId="0" applyFont="1" applyFill="1" applyBorder="1" applyAlignment="1">
      <alignment horizontal="left" vertical="top" wrapText="1"/>
    </xf>
    <xf numFmtId="0" fontId="48" fillId="5" borderId="3" xfId="0" applyFont="1" applyFill="1" applyBorder="1" applyAlignment="1">
      <alignment horizontal="left" vertical="top" wrapText="1"/>
    </xf>
    <xf numFmtId="0" fontId="49" fillId="5" borderId="3" xfId="0" applyFont="1" applyFill="1" applyBorder="1" applyAlignment="1">
      <alignment horizontal="left" vertical="top" wrapText="1"/>
    </xf>
    <xf numFmtId="0" fontId="71" fillId="5" borderId="3" xfId="0" applyFont="1" applyFill="1" applyBorder="1" applyAlignment="1">
      <alignment horizontal="left" vertical="top" wrapText="1"/>
    </xf>
    <xf numFmtId="0" fontId="72" fillId="5" borderId="3" xfId="0" applyFont="1" applyFill="1" applyBorder="1" applyAlignment="1">
      <alignment horizontal="left" vertical="top" wrapText="1"/>
    </xf>
    <xf numFmtId="0" fontId="73" fillId="5" borderId="3" xfId="0" applyFont="1" applyFill="1" applyBorder="1" applyAlignment="1">
      <alignment horizontal="left" vertical="top" wrapText="1"/>
    </xf>
    <xf numFmtId="0" fontId="74" fillId="5" borderId="3" xfId="0" applyFont="1" applyFill="1" applyBorder="1" applyAlignment="1">
      <alignment horizontal="left" vertical="top" wrapText="1"/>
    </xf>
    <xf numFmtId="0" fontId="75" fillId="5" borderId="3" xfId="0" applyFont="1" applyFill="1" applyBorder="1" applyAlignment="1">
      <alignment horizontal="left" vertical="top" wrapText="1"/>
    </xf>
    <xf numFmtId="0" fontId="76" fillId="5" borderId="3" xfId="0" applyFont="1" applyFill="1" applyBorder="1" applyAlignment="1">
      <alignment horizontal="left" vertical="top" wrapText="1"/>
    </xf>
    <xf numFmtId="0" fontId="77" fillId="5" borderId="3" xfId="0" applyFont="1" applyFill="1" applyBorder="1" applyAlignment="1">
      <alignment horizontal="left" vertical="top" wrapText="1"/>
    </xf>
    <xf numFmtId="0" fontId="78" fillId="5" borderId="3" xfId="0" applyFont="1" applyFill="1" applyBorder="1" applyAlignment="1">
      <alignment horizontal="left" vertical="top" wrapText="1"/>
    </xf>
    <xf numFmtId="0" fontId="79" fillId="5" borderId="3" xfId="0" applyFont="1" applyFill="1" applyBorder="1" applyAlignment="1">
      <alignment horizontal="left" vertical="top" wrapText="1"/>
    </xf>
    <xf numFmtId="0" fontId="80" fillId="5" borderId="3" xfId="0" applyFont="1" applyFill="1" applyBorder="1" applyAlignment="1">
      <alignment horizontal="left" vertical="top" wrapText="1"/>
    </xf>
    <xf numFmtId="0" fontId="81" fillId="5" borderId="3" xfId="0" applyFont="1" applyFill="1" applyBorder="1" applyAlignment="1">
      <alignment horizontal="left" vertical="top" wrapText="1"/>
    </xf>
    <xf numFmtId="0" fontId="82" fillId="5" borderId="3" xfId="0" applyFont="1" applyFill="1" applyBorder="1" applyAlignment="1">
      <alignment horizontal="left" vertical="top" wrapText="1"/>
    </xf>
    <xf numFmtId="0" fontId="83" fillId="5" borderId="3" xfId="0" applyFont="1" applyFill="1" applyBorder="1" applyAlignment="1">
      <alignment horizontal="left" vertical="top" wrapText="1"/>
    </xf>
    <xf numFmtId="0" fontId="98" fillId="5" borderId="3" xfId="0" applyFont="1" applyFill="1" applyBorder="1" applyAlignment="1">
      <alignment horizontal="left" vertical="top" wrapText="1"/>
    </xf>
    <xf numFmtId="0" fontId="99" fillId="5" borderId="3" xfId="0" applyFont="1" applyFill="1" applyBorder="1" applyAlignment="1">
      <alignment horizontal="left" vertical="top" wrapText="1"/>
    </xf>
    <xf numFmtId="0" fontId="100" fillId="5" borderId="3" xfId="0" applyFont="1" applyFill="1" applyBorder="1" applyAlignment="1">
      <alignment horizontal="left" vertical="top" wrapText="1"/>
    </xf>
    <xf numFmtId="0" fontId="101" fillId="5" borderId="3" xfId="0" applyFont="1" applyFill="1" applyBorder="1" applyAlignment="1">
      <alignment horizontal="left" vertical="top" wrapText="1"/>
    </xf>
    <xf numFmtId="0" fontId="102" fillId="5" borderId="3" xfId="0" applyFont="1" applyFill="1" applyBorder="1" applyAlignment="1">
      <alignment horizontal="left" vertical="top" wrapText="1"/>
    </xf>
    <xf numFmtId="0" fontId="103" fillId="5" borderId="3" xfId="0" applyFont="1" applyFill="1" applyBorder="1" applyAlignment="1">
      <alignment horizontal="left" vertical="top" wrapText="1"/>
    </xf>
    <xf numFmtId="0" fontId="104" fillId="5" borderId="3" xfId="0" applyFont="1" applyFill="1" applyBorder="1" applyAlignment="1">
      <alignment horizontal="left" vertical="top" wrapText="1"/>
    </xf>
    <xf numFmtId="0" fontId="105" fillId="5" borderId="3" xfId="0" applyFont="1" applyFill="1" applyBorder="1" applyAlignment="1">
      <alignment horizontal="left" vertical="top" wrapText="1"/>
    </xf>
    <xf numFmtId="0" fontId="106" fillId="5" borderId="3" xfId="0" applyFont="1" applyFill="1" applyBorder="1" applyAlignment="1">
      <alignment horizontal="left" vertical="top" wrapText="1"/>
    </xf>
    <xf numFmtId="0" fontId="107" fillId="5" borderId="3" xfId="0" applyFont="1" applyFill="1" applyBorder="1" applyAlignment="1">
      <alignment horizontal="left" vertical="top" wrapText="1"/>
    </xf>
    <xf numFmtId="0" fontId="108" fillId="5" borderId="3" xfId="0" applyFont="1" applyFill="1" applyBorder="1" applyAlignment="1">
      <alignment horizontal="left" vertical="top" wrapText="1"/>
    </xf>
    <xf numFmtId="0" fontId="109" fillId="5" borderId="3" xfId="0" applyFont="1" applyFill="1" applyBorder="1" applyAlignment="1">
      <alignment horizontal="left" vertical="top" wrapText="1"/>
    </xf>
    <xf numFmtId="0" fontId="110" fillId="5" borderId="3" xfId="0" applyFont="1" applyFill="1" applyBorder="1" applyAlignment="1">
      <alignment horizontal="left" vertical="top" wrapText="1"/>
    </xf>
    <xf numFmtId="0" fontId="111" fillId="5" borderId="3" xfId="0" applyFont="1" applyFill="1" applyBorder="1" applyAlignment="1">
      <alignment horizontal="left" vertical="top" wrapText="1"/>
    </xf>
    <xf numFmtId="0" fontId="112" fillId="5" borderId="3" xfId="0" applyFont="1" applyFill="1" applyBorder="1" applyAlignment="1">
      <alignment horizontal="left" vertical="top" wrapText="1"/>
    </xf>
    <xf numFmtId="0" fontId="113" fillId="5" borderId="3" xfId="0" applyFont="1" applyFill="1" applyBorder="1" applyAlignment="1">
      <alignment horizontal="left" vertical="top" wrapText="1"/>
    </xf>
    <xf numFmtId="0" fontId="114" fillId="5" borderId="3" xfId="0" applyFont="1" applyFill="1" applyBorder="1" applyAlignment="1">
      <alignment horizontal="left" vertical="top" wrapText="1"/>
    </xf>
    <xf numFmtId="0" fontId="115" fillId="5" borderId="3" xfId="0" applyFont="1" applyFill="1" applyBorder="1" applyAlignment="1">
      <alignment horizontal="left" vertical="top" wrapText="1"/>
    </xf>
    <xf numFmtId="0" fontId="116" fillId="5" borderId="3" xfId="0" applyFont="1" applyFill="1" applyBorder="1" applyAlignment="1">
      <alignment horizontal="left" vertical="top" wrapText="1"/>
    </xf>
    <xf numFmtId="0" fontId="117" fillId="5" borderId="3" xfId="0" applyFont="1" applyFill="1" applyBorder="1" applyAlignment="1">
      <alignment horizontal="left" vertical="top" wrapText="1"/>
    </xf>
    <xf numFmtId="0" fontId="118" fillId="5" borderId="3" xfId="0" applyFont="1" applyFill="1" applyBorder="1" applyAlignment="1">
      <alignment horizontal="left" vertical="top" wrapText="1"/>
    </xf>
    <xf numFmtId="0" fontId="119" fillId="5" borderId="3" xfId="0" applyFont="1" applyFill="1" applyBorder="1" applyAlignment="1">
      <alignment horizontal="left" vertical="top" wrapText="1"/>
    </xf>
    <xf numFmtId="0" fontId="120" fillId="5" borderId="3" xfId="0" applyFont="1" applyFill="1" applyBorder="1" applyAlignment="1">
      <alignment horizontal="left" vertical="top" wrapText="1"/>
    </xf>
    <xf numFmtId="0" fontId="121" fillId="5" borderId="3" xfId="0" applyFont="1" applyFill="1" applyBorder="1" applyAlignment="1">
      <alignment horizontal="left" vertical="top" wrapText="1"/>
    </xf>
    <xf numFmtId="0" fontId="122" fillId="5" borderId="3" xfId="0" applyFont="1" applyFill="1" applyBorder="1" applyAlignment="1">
      <alignment horizontal="left" vertical="top" wrapText="1"/>
    </xf>
    <xf numFmtId="0" fontId="123" fillId="5" borderId="3" xfId="0" applyFont="1" applyFill="1" applyBorder="1" applyAlignment="1">
      <alignment horizontal="left" vertical="top" wrapText="1"/>
    </xf>
    <xf numFmtId="0" fontId="124" fillId="5" borderId="3" xfId="0" applyFont="1" applyFill="1" applyBorder="1" applyAlignment="1">
      <alignment horizontal="left" vertical="top" wrapText="1"/>
    </xf>
    <xf numFmtId="0" fontId="125" fillId="5" borderId="3" xfId="0" applyFont="1" applyFill="1" applyBorder="1" applyAlignment="1">
      <alignment horizontal="left" vertical="top" wrapText="1"/>
    </xf>
    <xf numFmtId="0" fontId="126" fillId="5" borderId="3" xfId="0" applyFont="1" applyFill="1" applyBorder="1" applyAlignment="1">
      <alignment horizontal="left" vertical="top" wrapText="1"/>
    </xf>
    <xf numFmtId="0" fontId="127" fillId="5" borderId="3" xfId="0" applyFont="1" applyFill="1" applyBorder="1" applyAlignment="1">
      <alignment horizontal="left" vertical="top" wrapText="1"/>
    </xf>
    <xf numFmtId="0" fontId="152" fillId="5" borderId="3" xfId="0" applyFont="1" applyFill="1" applyBorder="1" applyAlignment="1">
      <alignment horizontal="left" vertical="top" wrapText="1"/>
    </xf>
    <xf numFmtId="0" fontId="153" fillId="5" borderId="3" xfId="0" applyFont="1" applyFill="1" applyBorder="1" applyAlignment="1">
      <alignment horizontal="left" vertical="top" wrapText="1"/>
    </xf>
    <xf numFmtId="0" fontId="154" fillId="5" borderId="3" xfId="0" applyFont="1" applyFill="1" applyBorder="1" applyAlignment="1">
      <alignment horizontal="left" vertical="top" wrapText="1"/>
    </xf>
    <xf numFmtId="0" fontId="158" fillId="5" borderId="3" xfId="0" applyFont="1" applyFill="1" applyBorder="1" applyAlignment="1">
      <alignment horizontal="left" vertical="top" wrapText="1"/>
    </xf>
    <xf numFmtId="0" fontId="164" fillId="5" borderId="3" xfId="0" applyFont="1" applyFill="1" applyBorder="1" applyAlignment="1">
      <alignment horizontal="left" vertical="top" wrapText="1"/>
    </xf>
    <xf numFmtId="0" fontId="165" fillId="5" borderId="3" xfId="0" applyFont="1" applyFill="1" applyBorder="1" applyAlignment="1">
      <alignment horizontal="left" vertical="top" wrapText="1"/>
    </xf>
    <xf numFmtId="0" fontId="217" fillId="5" borderId="3" xfId="0" applyFont="1" applyFill="1" applyBorder="1" applyAlignment="1">
      <alignment horizontal="left" vertical="top" wrapText="1"/>
    </xf>
    <xf numFmtId="0" fontId="236" fillId="5" borderId="3" xfId="0" applyFont="1" applyFill="1" applyBorder="1" applyAlignment="1">
      <alignment horizontal="left" vertical="top" wrapText="1"/>
    </xf>
    <xf numFmtId="0" fontId="237" fillId="5" borderId="3" xfId="0" applyFont="1" applyFill="1" applyBorder="1" applyAlignment="1">
      <alignment horizontal="left" vertical="top" wrapText="1"/>
    </xf>
    <xf numFmtId="0" fontId="244" fillId="5" borderId="3" xfId="0" applyFont="1" applyFill="1" applyBorder="1" applyAlignment="1">
      <alignment horizontal="left" vertical="top" wrapText="1"/>
    </xf>
    <xf numFmtId="0" fontId="245" fillId="5" borderId="3" xfId="0" applyFont="1" applyFill="1" applyBorder="1" applyAlignment="1">
      <alignment horizontal="left" vertical="top" wrapText="1"/>
    </xf>
    <xf numFmtId="0" fontId="246" fillId="5" borderId="3" xfId="0" applyFont="1" applyFill="1" applyBorder="1" applyAlignment="1">
      <alignment horizontal="left" vertical="top" wrapText="1"/>
    </xf>
    <xf numFmtId="0" fontId="247" fillId="5" borderId="3" xfId="0" applyFont="1" applyFill="1" applyBorder="1" applyAlignment="1">
      <alignment horizontal="left" vertical="top" wrapText="1"/>
    </xf>
    <xf numFmtId="0" fontId="248" fillId="5" borderId="3" xfId="0" applyFont="1" applyFill="1" applyBorder="1" applyAlignment="1">
      <alignment horizontal="left" vertical="top" wrapText="1"/>
    </xf>
    <xf numFmtId="0" fontId="249" fillId="5" borderId="3" xfId="0" applyFont="1" applyFill="1" applyBorder="1" applyAlignment="1">
      <alignment horizontal="left" vertical="top" wrapText="1"/>
    </xf>
    <xf numFmtId="0" fontId="250" fillId="5" borderId="3" xfId="0" applyFont="1" applyFill="1" applyBorder="1" applyAlignment="1">
      <alignment horizontal="left" vertical="top" wrapText="1"/>
    </xf>
    <xf numFmtId="0" fontId="251" fillId="5" borderId="3" xfId="0" applyFont="1" applyFill="1" applyBorder="1" applyAlignment="1">
      <alignment horizontal="left" vertical="top" wrapText="1"/>
    </xf>
    <xf numFmtId="0" fontId="252" fillId="5" borderId="3" xfId="0" applyFont="1" applyFill="1" applyBorder="1" applyAlignment="1">
      <alignment horizontal="left" vertical="top" wrapText="1"/>
    </xf>
    <xf numFmtId="0" fontId="253" fillId="5" borderId="3" xfId="0" applyFont="1" applyFill="1" applyBorder="1" applyAlignment="1">
      <alignment horizontal="left" vertical="top" wrapText="1"/>
    </xf>
    <xf numFmtId="0" fontId="254" fillId="5" borderId="3" xfId="0" applyFont="1" applyFill="1" applyBorder="1" applyAlignment="1">
      <alignment horizontal="left" vertical="top" wrapText="1"/>
    </xf>
    <xf numFmtId="0" fontId="255" fillId="5" borderId="3" xfId="0" applyFont="1" applyFill="1" applyBorder="1" applyAlignment="1">
      <alignment horizontal="left" vertical="top" wrapText="1"/>
    </xf>
    <xf numFmtId="0" fontId="256" fillId="5" borderId="3" xfId="0" applyFont="1" applyFill="1" applyBorder="1" applyAlignment="1">
      <alignment horizontal="left" vertical="top" wrapText="1"/>
    </xf>
    <xf numFmtId="0" fontId="257" fillId="5" borderId="3" xfId="0" applyFont="1" applyFill="1" applyBorder="1" applyAlignment="1">
      <alignment horizontal="left" vertical="top" wrapText="1"/>
    </xf>
    <xf numFmtId="0" fontId="258" fillId="5" borderId="3" xfId="0" applyFont="1" applyFill="1" applyBorder="1" applyAlignment="1">
      <alignment horizontal="left" vertical="top" wrapText="1"/>
    </xf>
    <xf numFmtId="0" fontId="259" fillId="5" borderId="3" xfId="0" applyFont="1" applyFill="1" applyBorder="1" applyAlignment="1">
      <alignment horizontal="left" vertical="top" wrapText="1"/>
    </xf>
    <xf numFmtId="0" fontId="260" fillId="5" borderId="3" xfId="0" applyFont="1" applyFill="1" applyBorder="1" applyAlignment="1">
      <alignment horizontal="left" vertical="top" wrapText="1"/>
    </xf>
    <xf numFmtId="0" fontId="261" fillId="5" borderId="3" xfId="0" applyFont="1" applyFill="1" applyBorder="1" applyAlignment="1">
      <alignment horizontal="left" vertical="top" wrapText="1"/>
    </xf>
    <xf numFmtId="0" fontId="262" fillId="5" borderId="3" xfId="0" applyFont="1" applyFill="1" applyBorder="1" applyAlignment="1">
      <alignment horizontal="left" vertical="top" wrapText="1"/>
    </xf>
    <xf numFmtId="0" fontId="263" fillId="5" borderId="3" xfId="0" applyFont="1" applyFill="1" applyBorder="1" applyAlignment="1">
      <alignment horizontal="left" vertical="top" wrapText="1"/>
    </xf>
    <xf numFmtId="0" fontId="264" fillId="5" borderId="3" xfId="0" applyFont="1" applyFill="1" applyBorder="1" applyAlignment="1">
      <alignment horizontal="left" vertical="top" wrapText="1"/>
    </xf>
    <xf numFmtId="0" fontId="265" fillId="5" borderId="3" xfId="0" applyFont="1" applyFill="1" applyBorder="1" applyAlignment="1">
      <alignment horizontal="left" vertical="top" wrapText="1"/>
    </xf>
    <xf numFmtId="0" fontId="266" fillId="5" borderId="3" xfId="0" applyFont="1" applyFill="1" applyBorder="1" applyAlignment="1">
      <alignment horizontal="left" vertical="top" wrapText="1"/>
    </xf>
    <xf numFmtId="0" fontId="267" fillId="5" borderId="3" xfId="0" applyFont="1" applyFill="1" applyBorder="1" applyAlignment="1">
      <alignment horizontal="left" vertical="top" wrapText="1"/>
    </xf>
    <xf numFmtId="0" fontId="268" fillId="5" borderId="3" xfId="0" applyFont="1" applyFill="1" applyBorder="1" applyAlignment="1">
      <alignment horizontal="left" vertical="top" wrapText="1"/>
    </xf>
    <xf numFmtId="0" fontId="269" fillId="5" borderId="3" xfId="0" applyFont="1" applyFill="1" applyBorder="1" applyAlignment="1">
      <alignment horizontal="left" vertical="top" wrapText="1"/>
    </xf>
    <xf numFmtId="0" fontId="270" fillId="5" borderId="3" xfId="0" applyFont="1" applyFill="1" applyBorder="1" applyAlignment="1">
      <alignment horizontal="left" vertical="top" wrapText="1"/>
    </xf>
    <xf numFmtId="0" fontId="271" fillId="5" borderId="3" xfId="0" applyFont="1" applyFill="1" applyBorder="1" applyAlignment="1">
      <alignment horizontal="left" vertical="top" wrapText="1"/>
    </xf>
    <xf numFmtId="0" fontId="272" fillId="5" borderId="3" xfId="0" applyFont="1" applyFill="1" applyBorder="1" applyAlignment="1">
      <alignment horizontal="left" vertical="top" wrapText="1"/>
    </xf>
    <xf numFmtId="0" fontId="273" fillId="5" borderId="3" xfId="0" applyFont="1" applyFill="1" applyBorder="1" applyAlignment="1">
      <alignment horizontal="left" vertical="top" wrapText="1"/>
    </xf>
    <xf numFmtId="0" fontId="284" fillId="5" borderId="3" xfId="0" applyFont="1" applyFill="1" applyBorder="1" applyAlignment="1">
      <alignment horizontal="left" vertical="top" wrapText="1"/>
    </xf>
    <xf numFmtId="0" fontId="302" fillId="5" borderId="3" xfId="0" applyFont="1" applyFill="1" applyBorder="1" applyAlignment="1">
      <alignment horizontal="left" vertical="top" wrapText="1"/>
    </xf>
    <xf numFmtId="0" fontId="303" fillId="5" borderId="3" xfId="0" applyFont="1" applyFill="1" applyBorder="1" applyAlignment="1">
      <alignment horizontal="left" vertical="top" wrapText="1"/>
    </xf>
    <xf numFmtId="0" fontId="304" fillId="5" borderId="3" xfId="0" applyFont="1" applyFill="1" applyBorder="1" applyAlignment="1">
      <alignment horizontal="left" vertical="top" wrapText="1"/>
    </xf>
    <xf numFmtId="0" fontId="305" fillId="5" borderId="3" xfId="0" applyFont="1" applyFill="1" applyBorder="1" applyAlignment="1">
      <alignment horizontal="left" vertical="top" wrapText="1"/>
    </xf>
    <xf numFmtId="0" fontId="307" fillId="5" borderId="3" xfId="0" applyFont="1" applyFill="1" applyBorder="1" applyAlignment="1">
      <alignment horizontal="left" vertical="top" wrapText="1"/>
    </xf>
    <xf numFmtId="0" fontId="312" fillId="5" borderId="3" xfId="0" applyFont="1" applyFill="1" applyBorder="1" applyAlignment="1">
      <alignment horizontal="left" vertical="top" wrapText="1"/>
    </xf>
    <xf numFmtId="0" fontId="313" fillId="5" borderId="3" xfId="0" applyFont="1" applyFill="1" applyBorder="1" applyAlignment="1">
      <alignment horizontal="left" vertical="top" wrapText="1"/>
    </xf>
    <xf numFmtId="0" fontId="314" fillId="5" borderId="3" xfId="0" applyFont="1" applyFill="1" applyBorder="1" applyAlignment="1">
      <alignment horizontal="left" vertical="top" wrapText="1"/>
    </xf>
    <xf numFmtId="0" fontId="315" fillId="5" borderId="3" xfId="0" applyFont="1" applyFill="1" applyBorder="1" applyAlignment="1">
      <alignment horizontal="left" vertical="top" wrapText="1"/>
    </xf>
    <xf numFmtId="0" fontId="316" fillId="5" borderId="3" xfId="0" applyFont="1" applyFill="1" applyBorder="1" applyAlignment="1">
      <alignment horizontal="left" vertical="top" wrapText="1"/>
    </xf>
    <xf numFmtId="0" fontId="317" fillId="5" borderId="3" xfId="0" applyFont="1" applyFill="1" applyBorder="1" applyAlignment="1">
      <alignment horizontal="left" vertical="top" wrapText="1"/>
    </xf>
    <xf numFmtId="0" fontId="318" fillId="5" borderId="3" xfId="0" applyFont="1" applyFill="1" applyBorder="1" applyAlignment="1">
      <alignment horizontal="left" vertical="top" wrapText="1"/>
    </xf>
    <xf numFmtId="0" fontId="319" fillId="5" borderId="3" xfId="0" applyFont="1" applyFill="1" applyBorder="1" applyAlignment="1">
      <alignment horizontal="left" vertical="top" wrapText="1"/>
    </xf>
    <xf numFmtId="0" fontId="320" fillId="5" borderId="3" xfId="0" applyFont="1" applyFill="1" applyBorder="1" applyAlignment="1">
      <alignment horizontal="left" vertical="top" wrapText="1"/>
    </xf>
    <xf numFmtId="0" fontId="321" fillId="5" borderId="3" xfId="0" applyFont="1" applyFill="1" applyBorder="1" applyAlignment="1">
      <alignment horizontal="left" vertical="top" wrapText="1"/>
    </xf>
    <xf numFmtId="0" fontId="322" fillId="5" borderId="3" xfId="0" applyFont="1" applyFill="1" applyBorder="1" applyAlignment="1">
      <alignment horizontal="left" vertical="top" wrapText="1"/>
    </xf>
    <xf numFmtId="0" fontId="323" fillId="5" borderId="3" xfId="0" applyFont="1" applyFill="1" applyBorder="1" applyAlignment="1">
      <alignment horizontal="left" vertical="top" wrapText="1"/>
    </xf>
    <xf numFmtId="0" fontId="325" fillId="5" borderId="3" xfId="0" applyFont="1" applyFill="1" applyBorder="1" applyAlignment="1">
      <alignment horizontal="left" vertical="top" wrapText="1"/>
    </xf>
    <xf numFmtId="0" fontId="373" fillId="5" borderId="3" xfId="0" applyFont="1" applyFill="1" applyBorder="1" applyAlignment="1">
      <alignment horizontal="left" vertical="top" wrapText="1"/>
    </xf>
    <xf numFmtId="0" fontId="374" fillId="5" borderId="3" xfId="0" applyFont="1" applyFill="1" applyBorder="1" applyAlignment="1">
      <alignment horizontal="left" vertical="top" wrapText="1"/>
    </xf>
    <xf numFmtId="0" fontId="375" fillId="5" borderId="3" xfId="0" applyFont="1" applyFill="1" applyBorder="1" applyAlignment="1">
      <alignment horizontal="left" vertical="top" wrapText="1"/>
    </xf>
    <xf numFmtId="0" fontId="376" fillId="5" borderId="3" xfId="0" applyFont="1" applyFill="1" applyBorder="1" applyAlignment="1">
      <alignment horizontal="left" vertical="top" wrapText="1"/>
    </xf>
    <xf numFmtId="0" fontId="377" fillId="5" borderId="3" xfId="0" applyFont="1" applyFill="1" applyBorder="1" applyAlignment="1">
      <alignment horizontal="left" vertical="top" wrapText="1"/>
    </xf>
    <xf numFmtId="0" fontId="407" fillId="5" borderId="3" xfId="0" applyFont="1" applyFill="1" applyBorder="1" applyAlignment="1">
      <alignment horizontal="left" vertical="top" wrapText="1"/>
    </xf>
    <xf numFmtId="0" fontId="408" fillId="5" borderId="3" xfId="0" applyFont="1" applyFill="1" applyBorder="1" applyAlignment="1">
      <alignment horizontal="left" vertical="top" wrapText="1"/>
    </xf>
    <xf numFmtId="0" fontId="409" fillId="5" borderId="3" xfId="0" applyFont="1" applyFill="1" applyBorder="1" applyAlignment="1">
      <alignment horizontal="left" vertical="top" wrapText="1"/>
    </xf>
    <xf numFmtId="0" fontId="410" fillId="5" borderId="3" xfId="0" applyFont="1" applyFill="1" applyBorder="1" applyAlignment="1">
      <alignment horizontal="left" vertical="top" wrapText="1"/>
    </xf>
    <xf numFmtId="0" fontId="411" fillId="5" borderId="3" xfId="0" applyFont="1" applyFill="1" applyBorder="1" applyAlignment="1">
      <alignment horizontal="left" vertical="top" wrapText="1"/>
    </xf>
    <xf numFmtId="0" fontId="417" fillId="5" borderId="3" xfId="0" applyFont="1" applyFill="1" applyBorder="1" applyAlignment="1">
      <alignment horizontal="left" vertical="top" wrapText="1"/>
    </xf>
    <xf numFmtId="0" fontId="418" fillId="5" borderId="3" xfId="0" applyFont="1" applyFill="1" applyBorder="1" applyAlignment="1">
      <alignment horizontal="left" vertical="top" wrapText="1"/>
    </xf>
    <xf numFmtId="0" fontId="419" fillId="5" borderId="3" xfId="0" applyFont="1" applyFill="1" applyBorder="1" applyAlignment="1">
      <alignment horizontal="left" vertical="top" wrapText="1"/>
    </xf>
    <xf numFmtId="0" fontId="420" fillId="5" borderId="3" xfId="0" applyFont="1" applyFill="1" applyBorder="1" applyAlignment="1">
      <alignment horizontal="left" vertical="top" wrapText="1"/>
    </xf>
    <xf numFmtId="0" fontId="421" fillId="5" borderId="3" xfId="0" applyFont="1" applyFill="1" applyBorder="1" applyAlignment="1">
      <alignment horizontal="left" vertical="top" wrapText="1"/>
    </xf>
    <xf numFmtId="0" fontId="422" fillId="5" borderId="3" xfId="0" applyFont="1" applyFill="1" applyBorder="1" applyAlignment="1">
      <alignment horizontal="left" vertical="top" wrapText="1"/>
    </xf>
    <xf numFmtId="0" fontId="423" fillId="5" borderId="3" xfId="0" applyFont="1" applyFill="1" applyBorder="1" applyAlignment="1">
      <alignment horizontal="left" vertical="top" wrapText="1"/>
    </xf>
    <xf numFmtId="0" fontId="432" fillId="5" borderId="3" xfId="0" applyFont="1" applyFill="1" applyBorder="1" applyAlignment="1">
      <alignment horizontal="left" vertical="top" wrapText="1"/>
    </xf>
    <xf numFmtId="0" fontId="433" fillId="5" borderId="3" xfId="0" applyFont="1" applyFill="1" applyBorder="1" applyAlignment="1">
      <alignment horizontal="left" vertical="top" wrapText="1"/>
    </xf>
    <xf numFmtId="0" fontId="434" fillId="5" borderId="3" xfId="0" applyFont="1" applyFill="1" applyBorder="1" applyAlignment="1">
      <alignment horizontal="left" vertical="top" wrapText="1"/>
    </xf>
    <xf numFmtId="0" fontId="435" fillId="5" borderId="3" xfId="0" applyFont="1" applyFill="1" applyBorder="1" applyAlignment="1">
      <alignment horizontal="left" vertical="top" wrapText="1"/>
    </xf>
    <xf numFmtId="0" fontId="436" fillId="5" borderId="3" xfId="0" applyFont="1" applyFill="1" applyBorder="1" applyAlignment="1">
      <alignment horizontal="left" vertical="top" wrapText="1"/>
    </xf>
    <xf numFmtId="0" fontId="437" fillId="5" borderId="3" xfId="0" applyFont="1" applyFill="1" applyBorder="1" applyAlignment="1">
      <alignment horizontal="left" vertical="top" wrapText="1"/>
    </xf>
    <xf numFmtId="0" fontId="439" fillId="5" borderId="3" xfId="0" applyFont="1" applyFill="1" applyBorder="1" applyAlignment="1">
      <alignment horizontal="left" vertical="top" wrapText="1"/>
    </xf>
    <xf numFmtId="0" fontId="447" fillId="5" borderId="3" xfId="0" applyFont="1" applyFill="1" applyBorder="1" applyAlignment="1">
      <alignment horizontal="left" vertical="top" wrapText="1"/>
    </xf>
    <xf numFmtId="0" fontId="448" fillId="5" borderId="3" xfId="0" applyFont="1" applyFill="1" applyBorder="1" applyAlignment="1">
      <alignment horizontal="left" vertical="top" wrapText="1"/>
    </xf>
    <xf numFmtId="0" fontId="449" fillId="5" borderId="3" xfId="0" applyFont="1" applyFill="1" applyBorder="1" applyAlignment="1">
      <alignment horizontal="left" vertical="top" wrapText="1"/>
    </xf>
    <xf numFmtId="0" fontId="450" fillId="5" borderId="3" xfId="0" applyFont="1" applyFill="1" applyBorder="1" applyAlignment="1">
      <alignment horizontal="left" vertical="top" wrapText="1"/>
    </xf>
    <xf numFmtId="0" fontId="451" fillId="5" borderId="3" xfId="0" applyFont="1" applyFill="1" applyBorder="1" applyAlignment="1">
      <alignment horizontal="left" vertical="top" wrapText="1"/>
    </xf>
    <xf numFmtId="0" fontId="452" fillId="5" borderId="3" xfId="0" applyFont="1" applyFill="1" applyBorder="1" applyAlignment="1">
      <alignment horizontal="left" vertical="top" wrapText="1"/>
    </xf>
    <xf numFmtId="0" fontId="453" fillId="5" borderId="3" xfId="0" applyFont="1" applyFill="1" applyBorder="1" applyAlignment="1">
      <alignment horizontal="left" vertical="top" wrapText="1"/>
    </xf>
    <xf numFmtId="0" fontId="454" fillId="5" borderId="3" xfId="0" applyFont="1" applyFill="1" applyBorder="1" applyAlignment="1">
      <alignment horizontal="left" vertical="top" wrapText="1"/>
    </xf>
    <xf numFmtId="0" fontId="455" fillId="5" borderId="3" xfId="0" applyFont="1" applyFill="1" applyBorder="1" applyAlignment="1">
      <alignment horizontal="left" vertical="top" wrapText="1"/>
    </xf>
    <xf numFmtId="0" fontId="456" fillId="5" borderId="3" xfId="0" applyFont="1" applyFill="1" applyBorder="1" applyAlignment="1">
      <alignment horizontal="left" vertical="top" wrapText="1"/>
    </xf>
    <xf numFmtId="0" fontId="457" fillId="5" borderId="3" xfId="0" applyFont="1" applyFill="1" applyBorder="1" applyAlignment="1">
      <alignment horizontal="left" vertical="top" wrapText="1"/>
    </xf>
    <xf numFmtId="0" fontId="458" fillId="5" borderId="3" xfId="0" applyFont="1" applyFill="1" applyBorder="1" applyAlignment="1">
      <alignment horizontal="left" vertical="top" wrapText="1"/>
    </xf>
    <xf numFmtId="0" fontId="459" fillId="5" borderId="3" xfId="0" applyFont="1" applyFill="1" applyBorder="1" applyAlignment="1">
      <alignment horizontal="left" vertical="top" wrapText="1"/>
    </xf>
    <xf numFmtId="0" fontId="464" fillId="5" borderId="3" xfId="0" applyFont="1" applyFill="1" applyBorder="1" applyAlignment="1">
      <alignment horizontal="left" vertical="top" wrapText="1"/>
    </xf>
    <xf numFmtId="0" fontId="465" fillId="5" borderId="3" xfId="0" applyFont="1" applyFill="1" applyBorder="1" applyAlignment="1">
      <alignment horizontal="left" vertical="top" wrapText="1"/>
    </xf>
    <xf numFmtId="0" fontId="466" fillId="5" borderId="3" xfId="0" applyFont="1" applyFill="1" applyBorder="1" applyAlignment="1">
      <alignment horizontal="left" vertical="top" wrapText="1"/>
    </xf>
    <xf numFmtId="0" fontId="467" fillId="5" borderId="3" xfId="0" applyFont="1" applyFill="1" applyBorder="1" applyAlignment="1">
      <alignment horizontal="left" vertical="top" wrapText="1"/>
    </xf>
    <xf numFmtId="0" fontId="468" fillId="5" borderId="3" xfId="0" applyFont="1" applyFill="1" applyBorder="1" applyAlignment="1">
      <alignment horizontal="left" vertical="top" wrapText="1"/>
    </xf>
    <xf numFmtId="0" fontId="469" fillId="5" borderId="3" xfId="0" applyFont="1" applyFill="1" applyBorder="1" applyAlignment="1">
      <alignment horizontal="left" vertical="top" wrapText="1"/>
    </xf>
    <xf numFmtId="0" fontId="473" fillId="5" borderId="3" xfId="0" applyFont="1" applyFill="1" applyBorder="1" applyAlignment="1">
      <alignment horizontal="left" vertical="top" wrapText="1"/>
    </xf>
    <xf numFmtId="0" fontId="477" fillId="5" borderId="3" xfId="0" applyFont="1" applyFill="1" applyBorder="1" applyAlignment="1">
      <alignment horizontal="left" vertical="top" wrapText="1"/>
    </xf>
    <xf numFmtId="0" fontId="478" fillId="5" borderId="3" xfId="0" applyFont="1" applyFill="1" applyBorder="1" applyAlignment="1">
      <alignment horizontal="left" vertical="top" wrapText="1"/>
    </xf>
    <xf numFmtId="0" fontId="479" fillId="5" borderId="3" xfId="0" applyFont="1" applyFill="1" applyBorder="1" applyAlignment="1">
      <alignment horizontal="left" vertical="top" wrapText="1"/>
    </xf>
    <xf numFmtId="0" fontId="480" fillId="5" borderId="3" xfId="0" applyFont="1" applyFill="1" applyBorder="1" applyAlignment="1">
      <alignment horizontal="left" vertical="top" wrapText="1"/>
    </xf>
    <xf numFmtId="0" fontId="481" fillId="5" borderId="3" xfId="0" applyFont="1" applyFill="1" applyBorder="1" applyAlignment="1">
      <alignment horizontal="left" vertical="top" wrapText="1"/>
    </xf>
    <xf numFmtId="0" fontId="482" fillId="5" borderId="3" xfId="0" applyFont="1" applyFill="1" applyBorder="1" applyAlignment="1">
      <alignment horizontal="left" vertical="top" wrapText="1"/>
    </xf>
    <xf numFmtId="0" fontId="483" fillId="5" borderId="3" xfId="0" applyFont="1" applyFill="1" applyBorder="1" applyAlignment="1">
      <alignment horizontal="left" vertical="top" wrapText="1"/>
    </xf>
    <xf numFmtId="0" fontId="484" fillId="5" borderId="3" xfId="0" applyFont="1" applyFill="1" applyBorder="1" applyAlignment="1">
      <alignment horizontal="left" vertical="top" wrapText="1"/>
    </xf>
    <xf numFmtId="0" fontId="485" fillId="5" borderId="3" xfId="0" applyFont="1" applyFill="1" applyBorder="1" applyAlignment="1">
      <alignment horizontal="left" vertical="top" wrapText="1"/>
    </xf>
    <xf numFmtId="0" fontId="488" fillId="5" borderId="3" xfId="0" applyFont="1" applyFill="1" applyBorder="1" applyAlignment="1">
      <alignment horizontal="left" vertical="top" wrapText="1"/>
    </xf>
    <xf numFmtId="0" fontId="489" fillId="5" borderId="3" xfId="0" applyFont="1" applyFill="1" applyBorder="1" applyAlignment="1">
      <alignment horizontal="left" vertical="top" wrapText="1"/>
    </xf>
    <xf numFmtId="0" fontId="490" fillId="5" borderId="3" xfId="0" applyFont="1" applyFill="1" applyBorder="1" applyAlignment="1">
      <alignment horizontal="left" vertical="top" wrapText="1"/>
    </xf>
    <xf numFmtId="0" fontId="491" fillId="5" borderId="3" xfId="0" applyFont="1" applyFill="1" applyBorder="1" applyAlignment="1">
      <alignment horizontal="left" vertical="top" wrapText="1"/>
    </xf>
    <xf numFmtId="0" fontId="492" fillId="5" borderId="3" xfId="0" applyFont="1" applyFill="1" applyBorder="1" applyAlignment="1">
      <alignment horizontal="left" vertical="top" wrapText="1"/>
    </xf>
    <xf numFmtId="0" fontId="493" fillId="5" borderId="3" xfId="0" applyFont="1" applyFill="1" applyBorder="1" applyAlignment="1">
      <alignment horizontal="left" vertical="top" wrapText="1"/>
    </xf>
    <xf numFmtId="0" fontId="494" fillId="5" borderId="3" xfId="0" applyFont="1" applyFill="1" applyBorder="1" applyAlignment="1">
      <alignment horizontal="left" vertical="top" wrapText="1"/>
    </xf>
    <xf numFmtId="0" fontId="495" fillId="5" borderId="3" xfId="0" applyFont="1" applyFill="1" applyBorder="1" applyAlignment="1">
      <alignment horizontal="left" vertical="top" wrapText="1"/>
    </xf>
    <xf numFmtId="0" fontId="496" fillId="5" borderId="3" xfId="0" applyFont="1" applyFill="1" applyBorder="1" applyAlignment="1">
      <alignment horizontal="left" vertical="top" wrapText="1"/>
    </xf>
    <xf numFmtId="0" fontId="498" fillId="5" borderId="3" xfId="0" applyFont="1" applyFill="1" applyBorder="1" applyAlignment="1">
      <alignment horizontal="left" vertical="top" wrapText="1"/>
    </xf>
    <xf numFmtId="0" fontId="499" fillId="5" borderId="3" xfId="0" applyFont="1" applyFill="1" applyBorder="1" applyAlignment="1">
      <alignment horizontal="left" vertical="top" wrapText="1"/>
    </xf>
    <xf numFmtId="0" fontId="500" fillId="5" borderId="3" xfId="0" applyFont="1" applyFill="1" applyBorder="1" applyAlignment="1">
      <alignment horizontal="left" vertical="top" wrapText="1"/>
    </xf>
    <xf numFmtId="0" fontId="501" fillId="5" borderId="3" xfId="0" applyFont="1" applyFill="1" applyBorder="1" applyAlignment="1">
      <alignment horizontal="left" vertical="top" wrapText="1"/>
    </xf>
    <xf numFmtId="0" fontId="502" fillId="5" borderId="3" xfId="0" applyFont="1" applyFill="1" applyBorder="1" applyAlignment="1">
      <alignment horizontal="left" vertical="top" wrapText="1"/>
    </xf>
    <xf numFmtId="0" fontId="503" fillId="5" borderId="3" xfId="0" applyFont="1" applyFill="1" applyBorder="1" applyAlignment="1">
      <alignment horizontal="left" vertical="top" wrapText="1"/>
    </xf>
    <xf numFmtId="0" fontId="504" fillId="5" borderId="3" xfId="0" applyFont="1" applyFill="1" applyBorder="1" applyAlignment="1">
      <alignment horizontal="left" vertical="top" wrapText="1"/>
    </xf>
    <xf numFmtId="0" fontId="505" fillId="5" borderId="3" xfId="0" applyFont="1" applyFill="1" applyBorder="1" applyAlignment="1">
      <alignment horizontal="left" vertical="top" wrapText="1"/>
    </xf>
    <xf numFmtId="0" fontId="506" fillId="5" borderId="3" xfId="0" applyFont="1" applyFill="1" applyBorder="1" applyAlignment="1">
      <alignment horizontal="left" vertical="top" wrapText="1"/>
    </xf>
    <xf numFmtId="0" fontId="507" fillId="5" borderId="3" xfId="0" applyFont="1" applyFill="1" applyBorder="1" applyAlignment="1">
      <alignment horizontal="left" vertical="top" wrapText="1"/>
    </xf>
    <xf numFmtId="0" fontId="508" fillId="5" borderId="3" xfId="0" applyFont="1" applyFill="1" applyBorder="1" applyAlignment="1">
      <alignment horizontal="left" vertical="top" wrapText="1"/>
    </xf>
    <xf numFmtId="0" fontId="509" fillId="5" borderId="3" xfId="0" applyFont="1" applyFill="1" applyBorder="1" applyAlignment="1">
      <alignment horizontal="left" vertical="top" wrapText="1"/>
    </xf>
    <xf numFmtId="0" fontId="513" fillId="5" borderId="3" xfId="0" applyFont="1" applyFill="1" applyBorder="1" applyAlignment="1">
      <alignment horizontal="left" vertical="top" wrapText="1"/>
    </xf>
    <xf numFmtId="0" fontId="514" fillId="5" borderId="3" xfId="0" applyFont="1" applyFill="1" applyBorder="1" applyAlignment="1">
      <alignment horizontal="left" vertical="top" wrapText="1"/>
    </xf>
    <xf numFmtId="0" fontId="515" fillId="5" borderId="3" xfId="0" applyFont="1" applyFill="1" applyBorder="1" applyAlignment="1">
      <alignment horizontal="left" vertical="top" wrapText="1"/>
    </xf>
    <xf numFmtId="0" fontId="519" fillId="5" borderId="3" xfId="0" applyFont="1" applyFill="1" applyBorder="1" applyAlignment="1">
      <alignment horizontal="left" vertical="top" wrapText="1"/>
    </xf>
    <xf numFmtId="0" fontId="520" fillId="5" borderId="3" xfId="0" applyFont="1" applyFill="1" applyBorder="1" applyAlignment="1">
      <alignment horizontal="left" vertical="top" wrapText="1"/>
    </xf>
    <xf numFmtId="0" fontId="521" fillId="5" borderId="3" xfId="0" applyFont="1" applyFill="1" applyBorder="1" applyAlignment="1">
      <alignment horizontal="left" vertical="top" wrapText="1"/>
    </xf>
    <xf numFmtId="0" fontId="522" fillId="5" borderId="3" xfId="0" applyFont="1" applyFill="1" applyBorder="1" applyAlignment="1">
      <alignment horizontal="left" vertical="top" wrapText="1"/>
    </xf>
    <xf numFmtId="0" fontId="523" fillId="5" borderId="3" xfId="0" applyFont="1" applyFill="1" applyBorder="1" applyAlignment="1">
      <alignment horizontal="left" vertical="top" wrapText="1"/>
    </xf>
    <xf numFmtId="0" fontId="524" fillId="5" borderId="3" xfId="0" applyFont="1" applyFill="1" applyBorder="1" applyAlignment="1">
      <alignment horizontal="left" vertical="top" wrapText="1"/>
    </xf>
    <xf numFmtId="0" fontId="525" fillId="5" borderId="3" xfId="0" applyFont="1" applyFill="1" applyBorder="1" applyAlignment="1">
      <alignment horizontal="left" vertical="top" wrapText="1"/>
    </xf>
    <xf numFmtId="0" fontId="526" fillId="5" borderId="3" xfId="0" applyFont="1" applyFill="1" applyBorder="1" applyAlignment="1">
      <alignment horizontal="left" vertical="top" wrapText="1"/>
    </xf>
    <xf numFmtId="0" fontId="527" fillId="5" borderId="3" xfId="0" applyFont="1" applyFill="1" applyBorder="1" applyAlignment="1">
      <alignment horizontal="left" vertical="top" wrapText="1"/>
    </xf>
    <xf numFmtId="0" fontId="528" fillId="5" borderId="3" xfId="0" applyFont="1" applyFill="1" applyBorder="1" applyAlignment="1">
      <alignment horizontal="left" vertical="top" wrapText="1"/>
    </xf>
    <xf numFmtId="0" fontId="529" fillId="5" borderId="3" xfId="0" applyFont="1" applyFill="1" applyBorder="1" applyAlignment="1">
      <alignment horizontal="left" vertical="top" wrapText="1"/>
    </xf>
    <xf numFmtId="49" fontId="0" fillId="0" borderId="0" xfId="0" applyNumberFormat="1"/>
    <xf numFmtId="0" fontId="534" fillId="4" borderId="3" xfId="0" applyFont="1" applyFill="1" applyBorder="1" applyAlignment="1">
      <alignment horizontal="center" vertical="top" wrapText="1"/>
    </xf>
    <xf numFmtId="0" fontId="547" fillId="5" borderId="3" xfId="0" applyFont="1" applyFill="1" applyBorder="1" applyAlignment="1">
      <alignment horizontal="left" vertical="top" wrapText="1"/>
    </xf>
    <xf numFmtId="0" fontId="548" fillId="5" borderId="3" xfId="0" applyFont="1" applyFill="1" applyBorder="1" applyAlignment="1">
      <alignment horizontal="left" vertical="top" wrapText="1"/>
    </xf>
    <xf numFmtId="0" fontId="549" fillId="5" borderId="3" xfId="0" applyFont="1" applyFill="1" applyBorder="1" applyAlignment="1">
      <alignment horizontal="left" vertical="top" wrapText="1"/>
    </xf>
    <xf numFmtId="0" fontId="550" fillId="5" borderId="3" xfId="0" applyFont="1" applyFill="1" applyBorder="1" applyAlignment="1">
      <alignment horizontal="left" vertical="top" wrapText="1"/>
    </xf>
    <xf numFmtId="0" fontId="553" fillId="5" borderId="3" xfId="0" applyFont="1" applyFill="1" applyBorder="1" applyAlignment="1">
      <alignment horizontal="left" vertical="top" wrapText="1"/>
    </xf>
    <xf numFmtId="0" fontId="554" fillId="5" borderId="3" xfId="0" applyFont="1" applyFill="1" applyBorder="1" applyAlignment="1">
      <alignment horizontal="left" vertical="top" wrapText="1"/>
    </xf>
    <xf numFmtId="0" fontId="555" fillId="5" borderId="3" xfId="0" applyFont="1" applyFill="1" applyBorder="1" applyAlignment="1">
      <alignment horizontal="left" vertical="top" wrapText="1"/>
    </xf>
    <xf numFmtId="0" fontId="556" fillId="5" borderId="3" xfId="0" applyFont="1" applyFill="1" applyBorder="1" applyAlignment="1">
      <alignment horizontal="left" vertical="top" wrapText="1"/>
    </xf>
    <xf numFmtId="0" fontId="557" fillId="5" borderId="3" xfId="0" applyFont="1" applyFill="1" applyBorder="1" applyAlignment="1">
      <alignment horizontal="left" vertical="top" wrapText="1"/>
    </xf>
    <xf numFmtId="0" fontId="558" fillId="5" borderId="3" xfId="0" applyFont="1" applyFill="1" applyBorder="1" applyAlignment="1">
      <alignment horizontal="left" vertical="top" wrapText="1"/>
    </xf>
    <xf numFmtId="0" fontId="559" fillId="5" borderId="3" xfId="0" applyFont="1" applyFill="1" applyBorder="1" applyAlignment="1">
      <alignment horizontal="left" vertical="top" wrapText="1"/>
    </xf>
    <xf numFmtId="0" fontId="560" fillId="5" borderId="3" xfId="0" applyFont="1" applyFill="1" applyBorder="1" applyAlignment="1">
      <alignment horizontal="left" vertical="top" wrapText="1"/>
    </xf>
    <xf numFmtId="0" fontId="562" fillId="5" borderId="3" xfId="0" applyFont="1" applyFill="1" applyBorder="1" applyAlignment="1">
      <alignment horizontal="left" vertical="top" wrapText="1"/>
    </xf>
    <xf numFmtId="0" fontId="563" fillId="5" borderId="3" xfId="0" applyFont="1" applyFill="1" applyBorder="1" applyAlignment="1">
      <alignment horizontal="left" vertical="top" wrapText="1"/>
    </xf>
    <xf numFmtId="0" fontId="566" fillId="5" borderId="3" xfId="0" applyFont="1" applyFill="1" applyBorder="1" applyAlignment="1">
      <alignment horizontal="left" vertical="top" wrapText="1"/>
    </xf>
    <xf numFmtId="0" fontId="567" fillId="5" borderId="3" xfId="0" applyFont="1" applyFill="1" applyBorder="1" applyAlignment="1">
      <alignment horizontal="left" vertical="top" wrapText="1"/>
    </xf>
    <xf numFmtId="0" fontId="568" fillId="5" borderId="3" xfId="0" applyFont="1" applyFill="1" applyBorder="1" applyAlignment="1">
      <alignment horizontal="left" vertical="top" wrapText="1"/>
    </xf>
    <xf numFmtId="0" fontId="569" fillId="5" borderId="3" xfId="0" applyFont="1" applyFill="1" applyBorder="1" applyAlignment="1">
      <alignment horizontal="left" vertical="top" wrapText="1"/>
    </xf>
    <xf numFmtId="0" fontId="575" fillId="5" borderId="3" xfId="0" applyFont="1" applyFill="1" applyBorder="1" applyAlignment="1">
      <alignment horizontal="left" vertical="top" wrapText="1"/>
    </xf>
    <xf numFmtId="0" fontId="576" fillId="5" borderId="3" xfId="0" applyFont="1" applyFill="1" applyBorder="1" applyAlignment="1">
      <alignment horizontal="left" vertical="top" wrapText="1"/>
    </xf>
    <xf numFmtId="0" fontId="577" fillId="5" borderId="3" xfId="0" applyFont="1" applyFill="1" applyBorder="1" applyAlignment="1">
      <alignment horizontal="left" vertical="top" wrapText="1"/>
    </xf>
    <xf numFmtId="0" fontId="578" fillId="5" borderId="3" xfId="0" applyFont="1" applyFill="1" applyBorder="1" applyAlignment="1">
      <alignment horizontal="left" vertical="top" wrapText="1"/>
    </xf>
    <xf numFmtId="0" fontId="579" fillId="5" borderId="3" xfId="0" applyFont="1" applyFill="1" applyBorder="1" applyAlignment="1">
      <alignment horizontal="left" vertical="top" wrapText="1"/>
    </xf>
    <xf numFmtId="0" fontId="580" fillId="5" borderId="3" xfId="0" applyFont="1" applyFill="1" applyBorder="1" applyAlignment="1">
      <alignment horizontal="left" vertical="top" wrapText="1"/>
    </xf>
    <xf numFmtId="0" fontId="581" fillId="5" borderId="3" xfId="0" applyFont="1" applyFill="1" applyBorder="1" applyAlignment="1">
      <alignment horizontal="left" vertical="top" wrapText="1"/>
    </xf>
    <xf numFmtId="0" fontId="582" fillId="5" borderId="3" xfId="0" applyFont="1" applyFill="1" applyBorder="1" applyAlignment="1">
      <alignment horizontal="left" vertical="top" wrapText="1"/>
    </xf>
    <xf numFmtId="0" fontId="583" fillId="5" borderId="3" xfId="0" applyFont="1" applyFill="1" applyBorder="1" applyAlignment="1">
      <alignment horizontal="left" vertical="top" wrapText="1"/>
    </xf>
    <xf numFmtId="0" fontId="584" fillId="5" borderId="3" xfId="0" applyFont="1" applyFill="1" applyBorder="1" applyAlignment="1">
      <alignment horizontal="left" vertical="top" wrapText="1"/>
    </xf>
    <xf numFmtId="0" fontId="585" fillId="5" borderId="3" xfId="0" applyFont="1" applyFill="1" applyBorder="1" applyAlignment="1">
      <alignment horizontal="left" vertical="top" wrapText="1"/>
    </xf>
    <xf numFmtId="0" fontId="586" fillId="5" borderId="3" xfId="0" applyFont="1" applyFill="1" applyBorder="1" applyAlignment="1">
      <alignment horizontal="left" vertical="top" wrapText="1"/>
    </xf>
    <xf numFmtId="0" fontId="587" fillId="5" borderId="3" xfId="0" applyFont="1" applyFill="1" applyBorder="1" applyAlignment="1">
      <alignment horizontal="left" vertical="top" wrapText="1"/>
    </xf>
    <xf numFmtId="0" fontId="588" fillId="5" borderId="3" xfId="0" applyFont="1" applyFill="1" applyBorder="1" applyAlignment="1">
      <alignment horizontal="left" vertical="top" wrapText="1"/>
    </xf>
    <xf numFmtId="0" fontId="589" fillId="5" borderId="3" xfId="0" applyFont="1" applyFill="1" applyBorder="1" applyAlignment="1">
      <alignment horizontal="left" vertical="top" wrapText="1"/>
    </xf>
    <xf numFmtId="0" fontId="590" fillId="5" borderId="3" xfId="0" applyFont="1" applyFill="1" applyBorder="1" applyAlignment="1">
      <alignment horizontal="left" vertical="top" wrapText="1"/>
    </xf>
    <xf numFmtId="0" fontId="591" fillId="5" borderId="3" xfId="0" applyFont="1" applyFill="1" applyBorder="1" applyAlignment="1">
      <alignment horizontal="left" vertical="top" wrapText="1"/>
    </xf>
    <xf numFmtId="0" fontId="592" fillId="5" borderId="3" xfId="0" applyFont="1" applyFill="1" applyBorder="1" applyAlignment="1">
      <alignment horizontal="left" vertical="top" wrapText="1"/>
    </xf>
    <xf numFmtId="0" fontId="593" fillId="5" borderId="3" xfId="0" applyFont="1" applyFill="1" applyBorder="1" applyAlignment="1">
      <alignment horizontal="left" vertical="top" wrapText="1"/>
    </xf>
    <xf numFmtId="0" fontId="594" fillId="5" borderId="3" xfId="0" applyFont="1" applyFill="1" applyBorder="1" applyAlignment="1">
      <alignment horizontal="left" vertical="top" wrapText="1"/>
    </xf>
    <xf numFmtId="0" fontId="595" fillId="5" borderId="3" xfId="0" applyFont="1" applyFill="1" applyBorder="1" applyAlignment="1">
      <alignment horizontal="left" vertical="top" wrapText="1"/>
    </xf>
    <xf numFmtId="0" fontId="596" fillId="5" borderId="3" xfId="0" applyFont="1" applyFill="1" applyBorder="1" applyAlignment="1">
      <alignment horizontal="left" vertical="top" wrapText="1"/>
    </xf>
    <xf numFmtId="0" fontId="597" fillId="5" borderId="3" xfId="0" applyFont="1" applyFill="1" applyBorder="1" applyAlignment="1">
      <alignment horizontal="left" vertical="top" wrapText="1"/>
    </xf>
    <xf numFmtId="0" fontId="598" fillId="5" borderId="3" xfId="0" applyFont="1" applyFill="1" applyBorder="1" applyAlignment="1">
      <alignment horizontal="left" vertical="top" wrapText="1"/>
    </xf>
    <xf numFmtId="0" fontId="599" fillId="5" borderId="3" xfId="0" applyFont="1" applyFill="1" applyBorder="1" applyAlignment="1">
      <alignment horizontal="left" vertical="top" wrapText="1"/>
    </xf>
    <xf numFmtId="0" fontId="600" fillId="5" borderId="3" xfId="0" applyFont="1" applyFill="1" applyBorder="1" applyAlignment="1">
      <alignment horizontal="left" vertical="top" wrapText="1"/>
    </xf>
    <xf numFmtId="0" fontId="601" fillId="5" borderId="3" xfId="0" applyFont="1" applyFill="1" applyBorder="1" applyAlignment="1">
      <alignment horizontal="left" vertical="top" wrapText="1"/>
    </xf>
    <xf numFmtId="0" fontId="602" fillId="5" borderId="3" xfId="0" applyFont="1" applyFill="1" applyBorder="1" applyAlignment="1">
      <alignment horizontal="left" vertical="top" wrapText="1"/>
    </xf>
    <xf numFmtId="0" fontId="603" fillId="5" borderId="3" xfId="0" applyFont="1" applyFill="1" applyBorder="1" applyAlignment="1">
      <alignment horizontal="left" vertical="top" wrapText="1"/>
    </xf>
    <xf numFmtId="0" fontId="604" fillId="5" borderId="3" xfId="0" applyFont="1" applyFill="1" applyBorder="1" applyAlignment="1">
      <alignment horizontal="left" vertical="top" wrapText="1"/>
    </xf>
    <xf numFmtId="0" fontId="605" fillId="5" borderId="3" xfId="0" applyFont="1" applyFill="1" applyBorder="1" applyAlignment="1">
      <alignment horizontal="left" vertical="top" wrapText="1"/>
    </xf>
    <xf numFmtId="0" fontId="606" fillId="5" borderId="3" xfId="0" applyFont="1" applyFill="1" applyBorder="1" applyAlignment="1">
      <alignment horizontal="left" vertical="top" wrapText="1"/>
    </xf>
    <xf numFmtId="0" fontId="607" fillId="5" borderId="3" xfId="0" applyFont="1" applyFill="1" applyBorder="1" applyAlignment="1">
      <alignment horizontal="left" vertical="top" wrapText="1"/>
    </xf>
    <xf numFmtId="0" fontId="608" fillId="5" borderId="3" xfId="0" applyFont="1" applyFill="1" applyBorder="1" applyAlignment="1">
      <alignment horizontal="left" vertical="top" wrapText="1"/>
    </xf>
    <xf numFmtId="0" fontId="609" fillId="5" borderId="3" xfId="0" applyFont="1" applyFill="1" applyBorder="1" applyAlignment="1">
      <alignment horizontal="left" vertical="top" wrapText="1"/>
    </xf>
    <xf numFmtId="0" fontId="610" fillId="5" borderId="3" xfId="0" applyFont="1" applyFill="1" applyBorder="1" applyAlignment="1">
      <alignment horizontal="left" vertical="top" wrapText="1"/>
    </xf>
    <xf numFmtId="0" fontId="611" fillId="5" borderId="3" xfId="0" applyFont="1" applyFill="1" applyBorder="1" applyAlignment="1">
      <alignment horizontal="left" vertical="top" wrapText="1"/>
    </xf>
    <xf numFmtId="0" fontId="622" fillId="5" borderId="3" xfId="0" applyFont="1" applyFill="1" applyBorder="1" applyAlignment="1">
      <alignment horizontal="left" vertical="top" wrapText="1"/>
    </xf>
    <xf numFmtId="0" fontId="623" fillId="5" borderId="3" xfId="0" applyFont="1" applyFill="1" applyBorder="1" applyAlignment="1">
      <alignment horizontal="left" vertical="top" wrapText="1"/>
    </xf>
    <xf numFmtId="0" fontId="624" fillId="5" borderId="3" xfId="0" applyFont="1" applyFill="1" applyBorder="1" applyAlignment="1">
      <alignment horizontal="left" vertical="top" wrapText="1"/>
    </xf>
    <xf numFmtId="0" fontId="625" fillId="5" borderId="3" xfId="0" applyFont="1" applyFill="1" applyBorder="1" applyAlignment="1">
      <alignment horizontal="left" vertical="top" wrapText="1"/>
    </xf>
    <xf numFmtId="0" fontId="626" fillId="5" borderId="3" xfId="0" applyFont="1" applyFill="1" applyBorder="1" applyAlignment="1">
      <alignment horizontal="left" vertical="top" wrapText="1"/>
    </xf>
    <xf numFmtId="0" fontId="627" fillId="5" borderId="3" xfId="0" applyFont="1" applyFill="1" applyBorder="1" applyAlignment="1">
      <alignment horizontal="left" vertical="top" wrapText="1"/>
    </xf>
    <xf numFmtId="0" fontId="628" fillId="5" borderId="3" xfId="0" applyFont="1" applyFill="1" applyBorder="1" applyAlignment="1">
      <alignment horizontal="left" vertical="top" wrapText="1"/>
    </xf>
    <xf numFmtId="0" fontId="629" fillId="5" borderId="3" xfId="0" applyFont="1" applyFill="1" applyBorder="1" applyAlignment="1">
      <alignment horizontal="left" vertical="top" wrapText="1"/>
    </xf>
    <xf numFmtId="0" fontId="630" fillId="5" borderId="3" xfId="0" applyFont="1" applyFill="1" applyBorder="1" applyAlignment="1">
      <alignment horizontal="left" vertical="top" wrapText="1"/>
    </xf>
    <xf numFmtId="0" fontId="631" fillId="5" borderId="3" xfId="0" applyFont="1" applyFill="1" applyBorder="1" applyAlignment="1">
      <alignment horizontal="left" vertical="top" wrapText="1"/>
    </xf>
    <xf numFmtId="0" fontId="632" fillId="5" borderId="3" xfId="0" applyFont="1" applyFill="1" applyBorder="1" applyAlignment="1">
      <alignment horizontal="left" vertical="top" wrapText="1"/>
    </xf>
    <xf numFmtId="0" fontId="633" fillId="5" borderId="3" xfId="0" applyFont="1" applyFill="1" applyBorder="1" applyAlignment="1">
      <alignment horizontal="left" vertical="top" wrapText="1"/>
    </xf>
    <xf numFmtId="0" fontId="634" fillId="5" borderId="3" xfId="0" applyFont="1" applyFill="1" applyBorder="1" applyAlignment="1">
      <alignment horizontal="left" vertical="top" wrapText="1"/>
    </xf>
    <xf numFmtId="0" fontId="635" fillId="5" borderId="3" xfId="0" applyFont="1" applyFill="1" applyBorder="1" applyAlignment="1">
      <alignment horizontal="left" vertical="top" wrapText="1"/>
    </xf>
    <xf numFmtId="0" fontId="636" fillId="5" borderId="3" xfId="0" applyFont="1" applyFill="1" applyBorder="1" applyAlignment="1">
      <alignment horizontal="left" vertical="top" wrapText="1"/>
    </xf>
    <xf numFmtId="0" fontId="637" fillId="5" borderId="3" xfId="0" applyFont="1" applyFill="1" applyBorder="1" applyAlignment="1">
      <alignment horizontal="left" vertical="top" wrapText="1"/>
    </xf>
    <xf numFmtId="0" fontId="644" fillId="5" borderId="3" xfId="0" applyFont="1" applyFill="1" applyBorder="1" applyAlignment="1">
      <alignment horizontal="left" vertical="top" wrapText="1"/>
    </xf>
    <xf numFmtId="0" fontId="646" fillId="5" borderId="3" xfId="0" applyFont="1" applyFill="1" applyBorder="1" applyAlignment="1">
      <alignment horizontal="left" vertical="top" wrapText="1"/>
    </xf>
    <xf numFmtId="0" fontId="647" fillId="5" borderId="3" xfId="0" applyFont="1" applyFill="1" applyBorder="1" applyAlignment="1">
      <alignment horizontal="left" vertical="top" wrapText="1"/>
    </xf>
    <xf numFmtId="0" fontId="648" fillId="5" borderId="3" xfId="0" applyFont="1" applyFill="1" applyBorder="1" applyAlignment="1">
      <alignment horizontal="left" vertical="top" wrapText="1"/>
    </xf>
    <xf numFmtId="0" fontId="655" fillId="5" borderId="3" xfId="0" applyFont="1" applyFill="1" applyBorder="1" applyAlignment="1">
      <alignment horizontal="left" vertical="top" wrapText="1"/>
    </xf>
    <xf numFmtId="0" fontId="656" fillId="5" borderId="3" xfId="0" applyFont="1" applyFill="1" applyBorder="1" applyAlignment="1">
      <alignment horizontal="left" vertical="top" wrapText="1"/>
    </xf>
    <xf numFmtId="0" fontId="657" fillId="5" borderId="3" xfId="0" applyFont="1" applyFill="1" applyBorder="1" applyAlignment="1">
      <alignment horizontal="left" vertical="top" wrapText="1"/>
    </xf>
    <xf numFmtId="0" fontId="658" fillId="5" borderId="3" xfId="0" applyFont="1" applyFill="1" applyBorder="1" applyAlignment="1">
      <alignment horizontal="left" vertical="top" wrapText="1"/>
    </xf>
    <xf numFmtId="0" fontId="659" fillId="5" borderId="3" xfId="0" applyFont="1" applyFill="1" applyBorder="1" applyAlignment="1">
      <alignment horizontal="left" vertical="top" wrapText="1"/>
    </xf>
    <xf numFmtId="0" fontId="660" fillId="5" borderId="3" xfId="0" applyFont="1" applyFill="1" applyBorder="1" applyAlignment="1">
      <alignment horizontal="left" vertical="top" wrapText="1"/>
    </xf>
    <xf numFmtId="0" fontId="661" fillId="5" borderId="3" xfId="0" applyFont="1" applyFill="1" applyBorder="1" applyAlignment="1">
      <alignment horizontal="left" vertical="top" wrapText="1"/>
    </xf>
    <xf numFmtId="0" fontId="662" fillId="5" borderId="3" xfId="0" applyFont="1" applyFill="1" applyBorder="1" applyAlignment="1">
      <alignment horizontal="center" vertical="top"/>
    </xf>
    <xf numFmtId="0" fontId="663" fillId="5" borderId="3" xfId="0" applyFont="1" applyFill="1" applyBorder="1" applyAlignment="1">
      <alignment horizontal="left" vertical="top" wrapText="1"/>
    </xf>
    <xf numFmtId="0" fontId="664" fillId="5" borderId="3" xfId="0" applyFont="1" applyFill="1" applyBorder="1" applyAlignment="1">
      <alignment horizontal="left" vertical="top" wrapText="1"/>
    </xf>
    <xf numFmtId="0" fontId="695" fillId="5" borderId="3" xfId="0" applyFont="1" applyFill="1" applyBorder="1" applyAlignment="1">
      <alignment horizontal="left" vertical="top" wrapText="1"/>
    </xf>
    <xf numFmtId="0" fontId="696" fillId="5" borderId="3" xfId="0" applyFont="1" applyFill="1" applyBorder="1" applyAlignment="1">
      <alignment horizontal="left" vertical="top" wrapText="1"/>
    </xf>
    <xf numFmtId="0" fontId="697" fillId="5" borderId="3" xfId="0" applyFont="1" applyFill="1" applyBorder="1" applyAlignment="1">
      <alignment horizontal="left" vertical="top" wrapText="1"/>
    </xf>
    <xf numFmtId="0" fontId="698" fillId="5" borderId="3" xfId="0" applyFont="1" applyFill="1" applyBorder="1" applyAlignment="1">
      <alignment horizontal="left" vertical="top" wrapText="1"/>
    </xf>
    <xf numFmtId="0" fontId="699" fillId="5" borderId="3" xfId="0" applyFont="1" applyFill="1" applyBorder="1" applyAlignment="1">
      <alignment horizontal="left" vertical="top" wrapText="1"/>
    </xf>
    <xf numFmtId="0" fontId="700" fillId="5" borderId="3" xfId="0" applyFont="1" applyFill="1" applyBorder="1" applyAlignment="1">
      <alignment horizontal="left" vertical="top" wrapText="1"/>
    </xf>
    <xf numFmtId="0" fontId="701" fillId="5" borderId="3" xfId="0" applyFont="1" applyFill="1" applyBorder="1" applyAlignment="1">
      <alignment horizontal="left" vertical="top" wrapText="1"/>
    </xf>
    <xf numFmtId="0" fontId="702" fillId="5" borderId="3" xfId="0" applyFont="1" applyFill="1" applyBorder="1" applyAlignment="1">
      <alignment horizontal="left" vertical="top" wrapText="1"/>
    </xf>
    <xf numFmtId="0" fontId="703" fillId="5" borderId="3" xfId="0" applyFont="1" applyFill="1" applyBorder="1" applyAlignment="1">
      <alignment horizontal="left" vertical="top" wrapText="1"/>
    </xf>
    <xf numFmtId="0" fontId="704" fillId="5" borderId="3" xfId="0" applyFont="1" applyFill="1" applyBorder="1" applyAlignment="1">
      <alignment horizontal="left" vertical="top" wrapText="1"/>
    </xf>
    <xf numFmtId="0" fontId="705" fillId="5" borderId="3" xfId="0" applyFont="1" applyFill="1" applyBorder="1" applyAlignment="1">
      <alignment horizontal="left" vertical="top" wrapText="1"/>
    </xf>
    <xf numFmtId="0" fontId="706" fillId="5" borderId="3" xfId="0" applyFont="1" applyFill="1" applyBorder="1" applyAlignment="1">
      <alignment horizontal="left" vertical="top" wrapText="1"/>
    </xf>
    <xf numFmtId="0" fontId="712" fillId="5" borderId="3" xfId="0" applyFont="1" applyFill="1" applyBorder="1" applyAlignment="1">
      <alignment horizontal="left" vertical="top" wrapText="1"/>
    </xf>
    <xf numFmtId="0" fontId="714" fillId="5" borderId="3" xfId="0" applyFont="1" applyFill="1" applyBorder="1" applyAlignment="1">
      <alignment horizontal="left" vertical="top" wrapText="1"/>
    </xf>
    <xf numFmtId="0" fontId="715" fillId="5" borderId="3" xfId="0" applyFont="1" applyFill="1" applyBorder="1" applyAlignment="1">
      <alignment horizontal="left" vertical="top" wrapText="1"/>
    </xf>
    <xf numFmtId="0" fontId="716" fillId="5" borderId="3" xfId="0" applyFont="1" applyFill="1" applyBorder="1" applyAlignment="1">
      <alignment horizontal="left" vertical="top" wrapText="1"/>
    </xf>
    <xf numFmtId="0" fontId="717" fillId="5" borderId="3" xfId="0" applyFont="1" applyFill="1" applyBorder="1" applyAlignment="1">
      <alignment horizontal="left" vertical="top" wrapText="1"/>
    </xf>
    <xf numFmtId="0" fontId="718" fillId="5" borderId="3" xfId="0" applyFont="1" applyFill="1" applyBorder="1" applyAlignment="1">
      <alignment horizontal="left" vertical="top" wrapText="1"/>
    </xf>
    <xf numFmtId="0" fontId="719" fillId="5" borderId="3" xfId="0" applyFont="1" applyFill="1" applyBorder="1" applyAlignment="1">
      <alignment horizontal="left" vertical="top" wrapText="1"/>
    </xf>
    <xf numFmtId="0" fontId="720" fillId="5" borderId="3" xfId="0" applyFont="1" applyFill="1" applyBorder="1" applyAlignment="1">
      <alignment horizontal="left" vertical="top" wrapText="1"/>
    </xf>
    <xf numFmtId="0" fontId="721" fillId="5" borderId="3" xfId="0" applyFont="1" applyFill="1" applyBorder="1" applyAlignment="1">
      <alignment horizontal="left" vertical="top" wrapText="1"/>
    </xf>
    <xf numFmtId="0" fontId="722" fillId="5" borderId="3" xfId="0" applyFont="1" applyFill="1" applyBorder="1" applyAlignment="1">
      <alignment horizontal="left" vertical="top" wrapText="1"/>
    </xf>
    <xf numFmtId="0" fontId="723" fillId="5" borderId="3" xfId="0" applyFont="1" applyFill="1" applyBorder="1" applyAlignment="1">
      <alignment horizontal="left" vertical="top" wrapText="1"/>
    </xf>
    <xf numFmtId="0" fontId="724" fillId="5" borderId="3" xfId="0" applyFont="1" applyFill="1" applyBorder="1" applyAlignment="1">
      <alignment horizontal="left" vertical="top" wrapText="1"/>
    </xf>
    <xf numFmtId="0" fontId="725" fillId="5" borderId="3" xfId="0" applyFont="1" applyFill="1" applyBorder="1" applyAlignment="1">
      <alignment horizontal="left" vertical="top" wrapText="1"/>
    </xf>
    <xf numFmtId="0" fontId="726" fillId="5" borderId="3" xfId="0" applyFont="1" applyFill="1" applyBorder="1" applyAlignment="1">
      <alignment horizontal="center" vertical="top"/>
    </xf>
    <xf numFmtId="0" fontId="727" fillId="5" borderId="3" xfId="0" applyFont="1" applyFill="1" applyBorder="1" applyAlignment="1">
      <alignment horizontal="left" vertical="top" wrapText="1"/>
    </xf>
    <xf numFmtId="0" fontId="728" fillId="5" borderId="3" xfId="0" applyFont="1" applyFill="1" applyBorder="1" applyAlignment="1">
      <alignment horizontal="left" vertical="top" wrapText="1"/>
    </xf>
    <xf numFmtId="0" fontId="729" fillId="5" borderId="3" xfId="0" applyFont="1" applyFill="1" applyBorder="1" applyAlignment="1">
      <alignment horizontal="left" vertical="top" wrapText="1"/>
    </xf>
    <xf numFmtId="0" fontId="730" fillId="5" borderId="3" xfId="0" applyFont="1" applyFill="1" applyBorder="1" applyAlignment="1">
      <alignment horizontal="left" vertical="top" wrapText="1"/>
    </xf>
    <xf numFmtId="0" fontId="731" fillId="5" borderId="3" xfId="0" applyFont="1" applyFill="1" applyBorder="1" applyAlignment="1">
      <alignment horizontal="left" vertical="top" wrapText="1"/>
    </xf>
    <xf numFmtId="0" fontId="732" fillId="5" borderId="3" xfId="0" applyFont="1" applyFill="1" applyBorder="1" applyAlignment="1">
      <alignment horizontal="left" vertical="top" wrapText="1"/>
    </xf>
    <xf numFmtId="0" fontId="733" fillId="5" borderId="3" xfId="0" applyFont="1" applyFill="1" applyBorder="1" applyAlignment="1">
      <alignment horizontal="left" vertical="top" wrapText="1"/>
    </xf>
    <xf numFmtId="0" fontId="734" fillId="5" borderId="3" xfId="0" applyFont="1" applyFill="1" applyBorder="1" applyAlignment="1">
      <alignment horizontal="left" vertical="top" wrapText="1"/>
    </xf>
    <xf numFmtId="0" fontId="735" fillId="5" borderId="3" xfId="0" applyFont="1" applyFill="1" applyBorder="1" applyAlignment="1">
      <alignment horizontal="left" vertical="top" wrapText="1"/>
    </xf>
    <xf numFmtId="0" fontId="736" fillId="5" borderId="3" xfId="0" applyFont="1" applyFill="1" applyBorder="1" applyAlignment="1">
      <alignment horizontal="left" vertical="top" wrapText="1"/>
    </xf>
    <xf numFmtId="0" fontId="737" fillId="5" borderId="3" xfId="0" applyFont="1" applyFill="1" applyBorder="1" applyAlignment="1">
      <alignment horizontal="left" vertical="top" wrapText="1"/>
    </xf>
    <xf numFmtId="0" fontId="738" fillId="5" borderId="3" xfId="0" applyFont="1" applyFill="1" applyBorder="1" applyAlignment="1">
      <alignment horizontal="left" vertical="top" wrapText="1"/>
    </xf>
    <xf numFmtId="0" fontId="739" fillId="5" borderId="3" xfId="0" applyFont="1" applyFill="1" applyBorder="1" applyAlignment="1">
      <alignment horizontal="left" vertical="top" wrapText="1"/>
    </xf>
    <xf numFmtId="0" fontId="740" fillId="5" borderId="3" xfId="0" applyFont="1" applyFill="1" applyBorder="1" applyAlignment="1">
      <alignment horizontal="left" vertical="top" wrapText="1"/>
    </xf>
    <xf numFmtId="0" fontId="741" fillId="5" borderId="3" xfId="0" applyFont="1" applyFill="1" applyBorder="1" applyAlignment="1">
      <alignment horizontal="left" vertical="top" wrapText="1"/>
    </xf>
    <xf numFmtId="0" fontId="742" fillId="5" borderId="3" xfId="0" applyFont="1" applyFill="1" applyBorder="1" applyAlignment="1">
      <alignment horizontal="left" vertical="top" wrapText="1"/>
    </xf>
    <xf numFmtId="0" fontId="743" fillId="5" borderId="3" xfId="0" applyFont="1" applyFill="1" applyBorder="1" applyAlignment="1">
      <alignment horizontal="left" vertical="top" wrapText="1"/>
    </xf>
    <xf numFmtId="0" fontId="744" fillId="5" borderId="3" xfId="0" applyFont="1" applyFill="1" applyBorder="1" applyAlignment="1">
      <alignment horizontal="left" vertical="top" wrapText="1"/>
    </xf>
    <xf numFmtId="0" fontId="745" fillId="5" borderId="3" xfId="0" applyFont="1" applyFill="1" applyBorder="1" applyAlignment="1">
      <alignment horizontal="left" vertical="top" wrapText="1"/>
    </xf>
    <xf numFmtId="0" fontId="746" fillId="5" borderId="3" xfId="0" applyFont="1" applyFill="1" applyBorder="1" applyAlignment="1">
      <alignment horizontal="left" vertical="top" wrapText="1"/>
    </xf>
    <xf numFmtId="0" fontId="747" fillId="5" borderId="3" xfId="0" applyFont="1" applyFill="1" applyBorder="1" applyAlignment="1">
      <alignment horizontal="left" vertical="top" wrapText="1"/>
    </xf>
    <xf numFmtId="0" fontId="748" fillId="5" borderId="3" xfId="0" applyFont="1" applyFill="1" applyBorder="1" applyAlignment="1">
      <alignment horizontal="left" vertical="top" wrapText="1"/>
    </xf>
    <xf numFmtId="0" fontId="749" fillId="5" borderId="3" xfId="0" applyFont="1" applyFill="1" applyBorder="1" applyAlignment="1">
      <alignment horizontal="left" vertical="top" wrapText="1"/>
    </xf>
    <xf numFmtId="0" fontId="750" fillId="5" borderId="3" xfId="0" applyFont="1" applyFill="1" applyBorder="1" applyAlignment="1">
      <alignment horizontal="left" vertical="top" wrapText="1"/>
    </xf>
    <xf numFmtId="0" fontId="751" fillId="5" borderId="3" xfId="0" applyFont="1" applyFill="1" applyBorder="1" applyAlignment="1">
      <alignment horizontal="left" vertical="top" wrapText="1"/>
    </xf>
    <xf numFmtId="0" fontId="752" fillId="5" borderId="3" xfId="0" applyFont="1" applyFill="1" applyBorder="1" applyAlignment="1">
      <alignment horizontal="left" vertical="top" wrapText="1"/>
    </xf>
    <xf numFmtId="0" fontId="753" fillId="5" borderId="3" xfId="0" applyFont="1" applyFill="1" applyBorder="1" applyAlignment="1">
      <alignment horizontal="left" vertical="top" wrapText="1"/>
    </xf>
    <xf numFmtId="0" fontId="754" fillId="5" borderId="3" xfId="0" applyFont="1" applyFill="1" applyBorder="1" applyAlignment="1">
      <alignment horizontal="left" vertical="top" wrapText="1"/>
    </xf>
    <xf numFmtId="0" fontId="755" fillId="5" borderId="3" xfId="0" applyFont="1" applyFill="1" applyBorder="1" applyAlignment="1">
      <alignment horizontal="left" vertical="top" wrapText="1"/>
    </xf>
    <xf numFmtId="0" fontId="756" fillId="5" borderId="3" xfId="0" applyFont="1" applyFill="1" applyBorder="1" applyAlignment="1">
      <alignment horizontal="left" vertical="top" wrapText="1"/>
    </xf>
    <xf numFmtId="0" fontId="757" fillId="5" borderId="3" xfId="0" applyFont="1" applyFill="1" applyBorder="1" applyAlignment="1">
      <alignment horizontal="left" vertical="top" wrapText="1"/>
    </xf>
    <xf numFmtId="0" fontId="769" fillId="5" borderId="3" xfId="0" applyFont="1" applyFill="1" applyBorder="1" applyAlignment="1">
      <alignment horizontal="left" vertical="top" wrapText="1"/>
    </xf>
    <xf numFmtId="0" fontId="770" fillId="5" borderId="3" xfId="0" applyFont="1" applyFill="1" applyBorder="1" applyAlignment="1">
      <alignment horizontal="left" vertical="top" wrapText="1"/>
    </xf>
    <xf numFmtId="0" fontId="771" fillId="5" borderId="3" xfId="0" applyFont="1" applyFill="1" applyBorder="1" applyAlignment="1">
      <alignment horizontal="left" vertical="top" wrapText="1"/>
    </xf>
    <xf numFmtId="0" fontId="772" fillId="5" borderId="3" xfId="0" applyFont="1" applyFill="1" applyBorder="1" applyAlignment="1">
      <alignment horizontal="left" vertical="top" wrapText="1"/>
    </xf>
    <xf numFmtId="0" fontId="773" fillId="5" borderId="3" xfId="0" applyFont="1" applyFill="1" applyBorder="1" applyAlignment="1">
      <alignment horizontal="left" vertical="top" wrapText="1"/>
    </xf>
    <xf numFmtId="0" fontId="774" fillId="5" borderId="3" xfId="0" applyFont="1" applyFill="1" applyBorder="1" applyAlignment="1">
      <alignment horizontal="left" vertical="top" wrapText="1"/>
    </xf>
    <xf numFmtId="0" fontId="775" fillId="5" borderId="3" xfId="0" applyFont="1" applyFill="1" applyBorder="1" applyAlignment="1">
      <alignment horizontal="left" vertical="top" wrapText="1"/>
    </xf>
    <xf numFmtId="0" fontId="776" fillId="5" borderId="3" xfId="0" applyFont="1" applyFill="1" applyBorder="1" applyAlignment="1">
      <alignment horizontal="left" vertical="top" wrapText="1"/>
    </xf>
    <xf numFmtId="0" fontId="777" fillId="5" borderId="3" xfId="0" applyFont="1" applyFill="1" applyBorder="1" applyAlignment="1">
      <alignment horizontal="left" vertical="top" wrapText="1"/>
    </xf>
    <xf numFmtId="0" fontId="778" fillId="5" borderId="3" xfId="0" applyFont="1" applyFill="1" applyBorder="1" applyAlignment="1">
      <alignment horizontal="left" vertical="top" wrapText="1"/>
    </xf>
    <xf numFmtId="0" fontId="779" fillId="5" borderId="3" xfId="0" applyFont="1" applyFill="1" applyBorder="1" applyAlignment="1">
      <alignment horizontal="left" vertical="top" wrapText="1"/>
    </xf>
    <xf numFmtId="0" fontId="780" fillId="5" borderId="3" xfId="0" applyFont="1" applyFill="1" applyBorder="1" applyAlignment="1">
      <alignment horizontal="left" vertical="top" wrapText="1"/>
    </xf>
    <xf numFmtId="0" fontId="781" fillId="5" borderId="3" xfId="0" applyFont="1" applyFill="1" applyBorder="1" applyAlignment="1">
      <alignment horizontal="left" vertical="top" wrapText="1"/>
    </xf>
    <xf numFmtId="0" fontId="783" fillId="5" borderId="3" xfId="0" applyFont="1" applyFill="1" applyBorder="1" applyAlignment="1">
      <alignment horizontal="left" vertical="top" wrapText="1"/>
    </xf>
    <xf numFmtId="0" fontId="786" fillId="5" borderId="3" xfId="0" applyFont="1" applyFill="1" applyBorder="1" applyAlignment="1">
      <alignment horizontal="left" vertical="top" wrapText="1"/>
    </xf>
    <xf numFmtId="0" fontId="787" fillId="5" borderId="3" xfId="0" applyFont="1" applyFill="1" applyBorder="1" applyAlignment="1">
      <alignment horizontal="left" vertical="top" wrapText="1"/>
    </xf>
    <xf numFmtId="0" fontId="788" fillId="5" borderId="3" xfId="0" applyFont="1" applyFill="1" applyBorder="1" applyAlignment="1">
      <alignment horizontal="left" vertical="top" wrapText="1"/>
    </xf>
    <xf numFmtId="0" fontId="793" fillId="5" borderId="3" xfId="0" applyFont="1" applyFill="1" applyBorder="1" applyAlignment="1">
      <alignment horizontal="left" vertical="top" wrapText="1"/>
    </xf>
    <xf numFmtId="0" fontId="794" fillId="5" borderId="3" xfId="0" applyFont="1" applyFill="1" applyBorder="1" applyAlignment="1">
      <alignment horizontal="left" vertical="top" wrapText="1"/>
    </xf>
    <xf numFmtId="0" fontId="795" fillId="5" borderId="3" xfId="0" applyFont="1" applyFill="1" applyBorder="1" applyAlignment="1">
      <alignment horizontal="left" vertical="top" wrapText="1"/>
    </xf>
    <xf numFmtId="0" fontId="796" fillId="5" borderId="3" xfId="0" applyFont="1" applyFill="1" applyBorder="1" applyAlignment="1">
      <alignment horizontal="left" vertical="top" wrapText="1"/>
    </xf>
    <xf numFmtId="0" fontId="797" fillId="5" borderId="3" xfId="0" applyFont="1" applyFill="1" applyBorder="1" applyAlignment="1">
      <alignment horizontal="left" vertical="top" wrapText="1"/>
    </xf>
    <xf numFmtId="0" fontId="798" fillId="5" borderId="3" xfId="0" applyFont="1" applyFill="1" applyBorder="1" applyAlignment="1">
      <alignment horizontal="left" vertical="top" wrapText="1"/>
    </xf>
    <xf numFmtId="0" fontId="799" fillId="5" borderId="3" xfId="0" applyFont="1" applyFill="1" applyBorder="1" applyAlignment="1">
      <alignment horizontal="left" vertical="top" wrapText="1"/>
    </xf>
    <xf numFmtId="0" fontId="800" fillId="5" borderId="3" xfId="0" applyFont="1" applyFill="1" applyBorder="1" applyAlignment="1">
      <alignment horizontal="left" vertical="top" wrapText="1"/>
    </xf>
    <xf numFmtId="0" fontId="801" fillId="5" borderId="3" xfId="0" applyFont="1" applyFill="1" applyBorder="1" applyAlignment="1">
      <alignment horizontal="left" vertical="top" wrapText="1"/>
    </xf>
    <xf numFmtId="0" fontId="802" fillId="5" borderId="3" xfId="0" applyFont="1" applyFill="1" applyBorder="1" applyAlignment="1">
      <alignment horizontal="left" vertical="top" wrapText="1"/>
    </xf>
    <xf numFmtId="0" fontId="803" fillId="5" borderId="3" xfId="0" applyFont="1" applyFill="1" applyBorder="1" applyAlignment="1">
      <alignment horizontal="left" vertical="top" wrapText="1"/>
    </xf>
    <xf numFmtId="0" fontId="807" fillId="5" borderId="3" xfId="0" applyFont="1" applyFill="1" applyBorder="1" applyAlignment="1">
      <alignment horizontal="left" vertical="top" wrapText="1"/>
    </xf>
    <xf numFmtId="0" fontId="808" fillId="5" borderId="3" xfId="0" applyFont="1" applyFill="1" applyBorder="1" applyAlignment="1">
      <alignment horizontal="left" vertical="top" wrapText="1"/>
    </xf>
    <xf numFmtId="0" fontId="817" fillId="5" borderId="3" xfId="0" applyFont="1" applyFill="1" applyBorder="1" applyAlignment="1">
      <alignment horizontal="left" vertical="top" wrapText="1"/>
    </xf>
    <xf numFmtId="0" fontId="818" fillId="5" borderId="3" xfId="0" applyFont="1" applyFill="1" applyBorder="1" applyAlignment="1">
      <alignment horizontal="left" vertical="top" wrapText="1"/>
    </xf>
    <xf numFmtId="0" fontId="820" fillId="5" borderId="3" xfId="0" applyFont="1" applyFill="1" applyBorder="1" applyAlignment="1">
      <alignment horizontal="left" vertical="top" wrapText="1"/>
    </xf>
    <xf numFmtId="0" fontId="821" fillId="5" borderId="3" xfId="0" applyFont="1" applyFill="1" applyBorder="1" applyAlignment="1">
      <alignment horizontal="left" vertical="top" wrapText="1"/>
    </xf>
    <xf numFmtId="0" fontId="822" fillId="5" borderId="3" xfId="0" applyFont="1" applyFill="1" applyBorder="1" applyAlignment="1">
      <alignment horizontal="left" vertical="top" wrapText="1"/>
    </xf>
    <xf numFmtId="0" fontId="823" fillId="5" borderId="3" xfId="0" applyFont="1" applyFill="1" applyBorder="1" applyAlignment="1">
      <alignment horizontal="left" vertical="top" wrapText="1"/>
    </xf>
    <xf numFmtId="0" fontId="824" fillId="5" borderId="3" xfId="0" applyFont="1" applyFill="1" applyBorder="1" applyAlignment="1">
      <alignment horizontal="left" vertical="top" wrapText="1"/>
    </xf>
    <xf numFmtId="0" fontId="835" fillId="5" borderId="3" xfId="0" applyFont="1" applyFill="1" applyBorder="1" applyAlignment="1">
      <alignment horizontal="left" vertical="top" wrapText="1"/>
    </xf>
    <xf numFmtId="49" fontId="0" fillId="0" borderId="0" xfId="0" applyNumberFormat="1"/>
    <xf numFmtId="0" fontId="838" fillId="4" borderId="3" xfId="0" applyFont="1" applyFill="1" applyBorder="1" applyAlignment="1">
      <alignment horizontal="center" vertical="top" wrapText="1"/>
    </xf>
    <xf numFmtId="0" fontId="840" fillId="5" borderId="3" xfId="0" applyFont="1" applyFill="1" applyBorder="1" applyAlignment="1">
      <alignment horizontal="left" vertical="top" wrapText="1"/>
    </xf>
    <xf numFmtId="0" fontId="845" fillId="5" borderId="3" xfId="0" applyFont="1" applyFill="1" applyBorder="1" applyAlignment="1">
      <alignment horizontal="left" vertical="top" wrapText="1"/>
    </xf>
    <xf numFmtId="0" fontId="846" fillId="5" borderId="3" xfId="0" applyFont="1" applyFill="1" applyBorder="1" applyAlignment="1">
      <alignment horizontal="left" vertical="top" wrapText="1"/>
    </xf>
    <xf numFmtId="0" fontId="847" fillId="5" borderId="3" xfId="0" applyFont="1" applyFill="1" applyBorder="1" applyAlignment="1">
      <alignment horizontal="left" vertical="top" wrapText="1"/>
    </xf>
    <xf numFmtId="0" fontId="848" fillId="5" borderId="3" xfId="0" applyFont="1" applyFill="1" applyBorder="1" applyAlignment="1">
      <alignment horizontal="left" vertical="top" wrapText="1"/>
    </xf>
    <xf numFmtId="0" fontId="849" fillId="5" borderId="3" xfId="0" applyFont="1" applyFill="1" applyBorder="1" applyAlignment="1">
      <alignment horizontal="left" vertical="top" wrapText="1"/>
    </xf>
    <xf numFmtId="0" fontId="850" fillId="5" borderId="3" xfId="0" applyFont="1" applyFill="1" applyBorder="1" applyAlignment="1">
      <alignment horizontal="left" vertical="top" wrapText="1"/>
    </xf>
    <xf numFmtId="0" fontId="851" fillId="5" borderId="3" xfId="0" applyFont="1" applyFill="1" applyBorder="1" applyAlignment="1">
      <alignment horizontal="left" vertical="top" wrapText="1"/>
    </xf>
    <xf numFmtId="0" fontId="852" fillId="5" borderId="3" xfId="0" applyFont="1" applyFill="1" applyBorder="1" applyAlignment="1">
      <alignment horizontal="left" vertical="top" wrapText="1"/>
    </xf>
    <xf numFmtId="0" fontId="853" fillId="5" borderId="3" xfId="0" applyFont="1" applyFill="1" applyBorder="1" applyAlignment="1">
      <alignment horizontal="left" vertical="top" wrapText="1"/>
    </xf>
    <xf numFmtId="49" fontId="0" fillId="0" borderId="0" xfId="0" applyNumberFormat="1"/>
    <xf numFmtId="0" fontId="856" fillId="4" borderId="3" xfId="0" applyFont="1" applyFill="1" applyBorder="1" applyAlignment="1">
      <alignment horizontal="center" vertical="top" wrapText="1"/>
    </xf>
    <xf numFmtId="0" fontId="859" fillId="5" borderId="3" xfId="0" applyFont="1" applyFill="1" applyBorder="1" applyAlignment="1">
      <alignment horizontal="left" vertical="top" wrapText="1"/>
    </xf>
    <xf numFmtId="0" fontId="860" fillId="5" borderId="3" xfId="0" applyFont="1" applyFill="1" applyBorder="1" applyAlignment="1">
      <alignment horizontal="left" vertical="top" wrapText="1"/>
    </xf>
    <xf numFmtId="0" fontId="861" fillId="5" borderId="3" xfId="0" applyFont="1" applyFill="1" applyBorder="1" applyAlignment="1">
      <alignment horizontal="left" vertical="top" wrapText="1"/>
    </xf>
    <xf numFmtId="0" fontId="862" fillId="5" borderId="3" xfId="0" applyFont="1" applyFill="1" applyBorder="1" applyAlignment="1">
      <alignment horizontal="left" vertical="top" wrapText="1"/>
    </xf>
    <xf numFmtId="0" fontId="863" fillId="5" borderId="3" xfId="0" applyFont="1" applyFill="1" applyBorder="1" applyAlignment="1">
      <alignment horizontal="left" vertical="top" wrapText="1"/>
    </xf>
    <xf numFmtId="0" fontId="864" fillId="5" borderId="3" xfId="0" applyFont="1" applyFill="1" applyBorder="1" applyAlignment="1">
      <alignment horizontal="left" vertical="top" wrapText="1"/>
    </xf>
    <xf numFmtId="0" fontId="865" fillId="5" borderId="3" xfId="0" applyFont="1" applyFill="1" applyBorder="1" applyAlignment="1">
      <alignment horizontal="left" vertical="top" wrapText="1"/>
    </xf>
    <xf numFmtId="0" fontId="866" fillId="5" borderId="3" xfId="0" applyFont="1" applyFill="1" applyBorder="1" applyAlignment="1">
      <alignment horizontal="left" vertical="top" wrapText="1"/>
    </xf>
    <xf numFmtId="0" fontId="867" fillId="5" borderId="3" xfId="0" applyFont="1" applyFill="1" applyBorder="1" applyAlignment="1">
      <alignment horizontal="left" vertical="top" wrapText="1"/>
    </xf>
    <xf numFmtId="0" fontId="868" fillId="5" borderId="3" xfId="0" applyFont="1" applyFill="1" applyBorder="1" applyAlignment="1">
      <alignment horizontal="left" vertical="top" wrapText="1"/>
    </xf>
    <xf numFmtId="0" fontId="869" fillId="5" borderId="3" xfId="0" applyFont="1" applyFill="1" applyBorder="1" applyAlignment="1">
      <alignment horizontal="left" vertical="top" wrapText="1"/>
    </xf>
    <xf numFmtId="0" fontId="870" fillId="5" borderId="3" xfId="0" applyFont="1" applyFill="1" applyBorder="1" applyAlignment="1">
      <alignment horizontal="left" vertical="top" wrapText="1"/>
    </xf>
    <xf numFmtId="0" fontId="871" fillId="5" borderId="3" xfId="0" applyFont="1" applyFill="1" applyBorder="1" applyAlignment="1">
      <alignment horizontal="left" vertical="top" wrapText="1"/>
    </xf>
    <xf numFmtId="0" fontId="872" fillId="5" borderId="3" xfId="0" applyFont="1" applyFill="1" applyBorder="1" applyAlignment="1">
      <alignment horizontal="left" vertical="top" wrapText="1"/>
    </xf>
    <xf numFmtId="0" fontId="873" fillId="5" borderId="3" xfId="0" applyFont="1" applyFill="1" applyBorder="1" applyAlignment="1">
      <alignment horizontal="left" vertical="top" wrapText="1"/>
    </xf>
    <xf numFmtId="0" fontId="874" fillId="5" borderId="3" xfId="0" applyFont="1" applyFill="1" applyBorder="1" applyAlignment="1">
      <alignment horizontal="left" vertical="top" wrapText="1"/>
    </xf>
    <xf numFmtId="0" fontId="881" fillId="5" borderId="3" xfId="0" applyFont="1" applyFill="1" applyBorder="1" applyAlignment="1">
      <alignment horizontal="left" vertical="top" wrapText="1"/>
    </xf>
    <xf numFmtId="0" fontId="882" fillId="5" borderId="3" xfId="0" applyFont="1" applyFill="1" applyBorder="1" applyAlignment="1">
      <alignment horizontal="left" vertical="top" wrapText="1"/>
    </xf>
    <xf numFmtId="0" fontId="883" fillId="5" borderId="3" xfId="0" applyFont="1" applyFill="1" applyBorder="1" applyAlignment="1">
      <alignment horizontal="left" vertical="top" wrapText="1"/>
    </xf>
    <xf numFmtId="0" fontId="884" fillId="5" borderId="3" xfId="0" applyFont="1" applyFill="1" applyBorder="1" applyAlignment="1">
      <alignment horizontal="left" vertical="top" wrapText="1"/>
    </xf>
    <xf numFmtId="0" fontId="885" fillId="5" borderId="3" xfId="0" applyFont="1" applyFill="1" applyBorder="1" applyAlignment="1">
      <alignment horizontal="left" vertical="top" wrapText="1"/>
    </xf>
    <xf numFmtId="0" fontId="886" fillId="5" borderId="3" xfId="0" applyFont="1" applyFill="1" applyBorder="1" applyAlignment="1">
      <alignment horizontal="left" vertical="top" wrapText="1"/>
    </xf>
    <xf numFmtId="0" fontId="893" fillId="5" borderId="3" xfId="0" applyFont="1" applyFill="1" applyBorder="1" applyAlignment="1">
      <alignment horizontal="left" vertical="top" wrapText="1"/>
    </xf>
    <xf numFmtId="0" fontId="894" fillId="5" borderId="3" xfId="0" applyFont="1" applyFill="1" applyBorder="1" applyAlignment="1">
      <alignment horizontal="left" vertical="top" wrapText="1"/>
    </xf>
    <xf numFmtId="0" fontId="895" fillId="5" borderId="3" xfId="0" applyFont="1" applyFill="1" applyBorder="1" applyAlignment="1">
      <alignment horizontal="left" vertical="top" wrapText="1"/>
    </xf>
    <xf numFmtId="0" fontId="896" fillId="5" borderId="3" xfId="0" applyFont="1" applyFill="1" applyBorder="1" applyAlignment="1">
      <alignment horizontal="left" vertical="top" wrapText="1"/>
    </xf>
    <xf numFmtId="0" fontId="897" fillId="5" borderId="3" xfId="0" applyFont="1" applyFill="1" applyBorder="1" applyAlignment="1">
      <alignment horizontal="left" vertical="top" wrapText="1"/>
    </xf>
    <xf numFmtId="0" fontId="898" fillId="5" borderId="3" xfId="0" applyFont="1" applyFill="1" applyBorder="1" applyAlignment="1">
      <alignment horizontal="left" vertical="top" wrapText="1"/>
    </xf>
    <xf numFmtId="0" fontId="899" fillId="5" borderId="3" xfId="0" applyFont="1" applyFill="1" applyBorder="1" applyAlignment="1">
      <alignment horizontal="left" vertical="top" wrapText="1"/>
    </xf>
    <xf numFmtId="0" fontId="900" fillId="5" borderId="3" xfId="0" applyFont="1" applyFill="1" applyBorder="1" applyAlignment="1">
      <alignment horizontal="left" vertical="top" wrapText="1"/>
    </xf>
    <xf numFmtId="0" fontId="901" fillId="5" borderId="3" xfId="0" applyFont="1" applyFill="1" applyBorder="1" applyAlignment="1">
      <alignment horizontal="left" vertical="top" wrapText="1"/>
    </xf>
    <xf numFmtId="0" fontId="902" fillId="5" borderId="3" xfId="0" applyFont="1" applyFill="1" applyBorder="1" applyAlignment="1">
      <alignment horizontal="left" vertical="top" wrapText="1"/>
    </xf>
    <xf numFmtId="0" fontId="903" fillId="5" borderId="3" xfId="0" applyFont="1" applyFill="1" applyBorder="1" applyAlignment="1">
      <alignment horizontal="left" vertical="top" wrapText="1"/>
    </xf>
    <xf numFmtId="0" fontId="904" fillId="5" borderId="3" xfId="0" applyFont="1" applyFill="1" applyBorder="1" applyAlignment="1">
      <alignment horizontal="left" vertical="top" wrapText="1"/>
    </xf>
    <xf numFmtId="0" fontId="911" fillId="5" borderId="3" xfId="0" applyFont="1" applyFill="1" applyBorder="1" applyAlignment="1">
      <alignment horizontal="left" vertical="top" wrapText="1"/>
    </xf>
    <xf numFmtId="0" fontId="912" fillId="5" borderId="3" xfId="0" applyFont="1" applyFill="1" applyBorder="1" applyAlignment="1">
      <alignment horizontal="left" vertical="top" wrapText="1"/>
    </xf>
    <xf numFmtId="49" fontId="0" fillId="0" borderId="0" xfId="0" applyNumberFormat="1"/>
    <xf numFmtId="0" fontId="915" fillId="4" borderId="3" xfId="0" applyFont="1" applyFill="1" applyBorder="1" applyAlignment="1">
      <alignment horizontal="center" vertical="top" wrapText="1"/>
    </xf>
    <xf numFmtId="0" fontId="916" fillId="5" borderId="3" xfId="0" applyFont="1" applyFill="1" applyBorder="1" applyAlignment="1">
      <alignment horizontal="left" vertical="top" wrapText="1"/>
    </xf>
    <xf numFmtId="0" fontId="917" fillId="5" borderId="3" xfId="0" applyFont="1" applyFill="1" applyBorder="1" applyAlignment="1">
      <alignment horizontal="left" vertical="top" wrapText="1"/>
    </xf>
    <xf numFmtId="0" fontId="918" fillId="5" borderId="3" xfId="0" applyFont="1" applyFill="1" applyBorder="1" applyAlignment="1">
      <alignment horizontal="left" vertical="top" wrapText="1"/>
    </xf>
    <xf numFmtId="0" fontId="919" fillId="5" borderId="3" xfId="0" applyFont="1" applyFill="1" applyBorder="1" applyAlignment="1">
      <alignment horizontal="left" vertical="top" wrapText="1"/>
    </xf>
    <xf numFmtId="0" fontId="920" fillId="5" borderId="3" xfId="0" applyFont="1" applyFill="1" applyBorder="1" applyAlignment="1">
      <alignment horizontal="left" vertical="top" wrapText="1"/>
    </xf>
    <xf numFmtId="0" fontId="922" fillId="5" borderId="3" xfId="0" applyFont="1" applyFill="1" applyBorder="1" applyAlignment="1">
      <alignment horizontal="left" vertical="top" wrapText="1"/>
    </xf>
    <xf numFmtId="0" fontId="923" fillId="5" borderId="3" xfId="0" applyFont="1" applyFill="1" applyBorder="1" applyAlignment="1">
      <alignment horizontal="left" vertical="top" wrapText="1"/>
    </xf>
    <xf numFmtId="0" fontId="925" fillId="5" borderId="3" xfId="0" applyFont="1" applyFill="1" applyBorder="1" applyAlignment="1">
      <alignment horizontal="left" vertical="top" wrapText="1"/>
    </xf>
    <xf numFmtId="0" fontId="926" fillId="5" borderId="3" xfId="0" applyFont="1" applyFill="1" applyBorder="1" applyAlignment="1">
      <alignment horizontal="left" vertical="top" wrapText="1"/>
    </xf>
    <xf numFmtId="0" fontId="927" fillId="5" borderId="3" xfId="0" applyFont="1" applyFill="1" applyBorder="1" applyAlignment="1">
      <alignment horizontal="left" vertical="top" wrapText="1"/>
    </xf>
    <xf numFmtId="0" fontId="928" fillId="5" borderId="3" xfId="0" applyFont="1" applyFill="1" applyBorder="1" applyAlignment="1">
      <alignment horizontal="left" vertical="top" wrapText="1"/>
    </xf>
    <xf numFmtId="0" fontId="929" fillId="5" borderId="3" xfId="0" applyFont="1" applyFill="1" applyBorder="1" applyAlignment="1">
      <alignment horizontal="left" vertical="top" wrapText="1"/>
    </xf>
    <xf numFmtId="0" fontId="930" fillId="5" borderId="3" xfId="0" applyFont="1" applyFill="1" applyBorder="1" applyAlignment="1">
      <alignment horizontal="left" vertical="top" wrapText="1"/>
    </xf>
    <xf numFmtId="0" fontId="931" fillId="5" borderId="3" xfId="0" applyFont="1" applyFill="1" applyBorder="1" applyAlignment="1">
      <alignment horizontal="left" vertical="top" wrapText="1"/>
    </xf>
    <xf numFmtId="0" fontId="932" fillId="5" borderId="3" xfId="0" applyFont="1" applyFill="1" applyBorder="1" applyAlignment="1">
      <alignment horizontal="left" vertical="top" wrapText="1"/>
    </xf>
    <xf numFmtId="0" fontId="933" fillId="5" borderId="3" xfId="0" applyFont="1" applyFill="1" applyBorder="1" applyAlignment="1">
      <alignment horizontal="left" vertical="top" wrapText="1"/>
    </xf>
    <xf numFmtId="0" fontId="934" fillId="5" borderId="3" xfId="0" applyFont="1" applyFill="1" applyBorder="1" applyAlignment="1">
      <alignment horizontal="left" vertical="top" wrapText="1"/>
    </xf>
    <xf numFmtId="0" fontId="935" fillId="5" borderId="3" xfId="0" applyFont="1" applyFill="1" applyBorder="1" applyAlignment="1">
      <alignment horizontal="left" vertical="top" wrapText="1"/>
    </xf>
    <xf numFmtId="0" fontId="936" fillId="5" borderId="3" xfId="0" applyFont="1" applyFill="1" applyBorder="1" applyAlignment="1">
      <alignment horizontal="left" vertical="top" wrapText="1"/>
    </xf>
    <xf numFmtId="0" fontId="939" fillId="5" borderId="3" xfId="0" applyFont="1" applyFill="1" applyBorder="1" applyAlignment="1">
      <alignment horizontal="left" vertical="top" wrapText="1"/>
    </xf>
    <xf numFmtId="0" fontId="940" fillId="5" borderId="3" xfId="0" applyFont="1" applyFill="1" applyBorder="1" applyAlignment="1">
      <alignment horizontal="left" vertical="top" wrapText="1"/>
    </xf>
    <xf numFmtId="49" fontId="0" fillId="0" borderId="0" xfId="0" applyNumberFormat="1"/>
    <xf numFmtId="0" fontId="941" fillId="3" borderId="3" xfId="0" applyFont="1" applyFill="1" applyBorder="1" applyAlignment="1">
      <alignment horizontal="left" vertical="top" wrapText="1"/>
    </xf>
    <xf numFmtId="0" fontId="943" fillId="4" borderId="3" xfId="0" applyFont="1" applyFill="1" applyBorder="1" applyAlignment="1">
      <alignment horizontal="center" vertical="top" wrapText="1"/>
    </xf>
    <xf numFmtId="0" fontId="944" fillId="5" borderId="3" xfId="0" applyFont="1" applyFill="1" applyBorder="1" applyAlignment="1">
      <alignment horizontal="left" vertical="top" wrapText="1"/>
    </xf>
    <xf numFmtId="0" fontId="945" fillId="5" borderId="3" xfId="0" applyFont="1" applyFill="1" applyBorder="1" applyAlignment="1">
      <alignment horizontal="left" vertical="top" wrapText="1"/>
    </xf>
    <xf numFmtId="0" fontId="946" fillId="5" borderId="3" xfId="0" applyFont="1" applyFill="1" applyBorder="1" applyAlignment="1">
      <alignment horizontal="left" vertical="top" wrapText="1"/>
    </xf>
    <xf numFmtId="0" fontId="947" fillId="5" borderId="3" xfId="0" applyFont="1" applyFill="1" applyBorder="1" applyAlignment="1">
      <alignment horizontal="left" vertical="top" wrapText="1"/>
    </xf>
    <xf numFmtId="0" fontId="948" fillId="5" borderId="3" xfId="0" applyFont="1" applyFill="1" applyBorder="1" applyAlignment="1">
      <alignment horizontal="left" vertical="top" wrapText="1"/>
    </xf>
    <xf numFmtId="0" fontId="949" fillId="5" borderId="3" xfId="0" applyFont="1" applyFill="1" applyBorder="1" applyAlignment="1">
      <alignment horizontal="left" vertical="top" wrapText="1"/>
    </xf>
    <xf numFmtId="0" fontId="950" fillId="5" borderId="3" xfId="0" applyFont="1" applyFill="1" applyBorder="1" applyAlignment="1">
      <alignment horizontal="left" vertical="top" wrapText="1"/>
    </xf>
    <xf numFmtId="0" fontId="951" fillId="5" borderId="3" xfId="0" applyFont="1" applyFill="1" applyBorder="1" applyAlignment="1">
      <alignment horizontal="left" vertical="top" wrapText="1"/>
    </xf>
    <xf numFmtId="0" fontId="952" fillId="5" borderId="3" xfId="0" applyFont="1" applyFill="1" applyBorder="1" applyAlignment="1">
      <alignment horizontal="left" vertical="top" wrapText="1"/>
    </xf>
    <xf numFmtId="0" fontId="953" fillId="5" borderId="3" xfId="0" applyFont="1" applyFill="1" applyBorder="1" applyAlignment="1">
      <alignment horizontal="left" vertical="top" wrapText="1"/>
    </xf>
    <xf numFmtId="0" fontId="954" fillId="5" borderId="3" xfId="0" applyFont="1" applyFill="1" applyBorder="1" applyAlignment="1">
      <alignment horizontal="left" vertical="top" wrapText="1"/>
    </xf>
    <xf numFmtId="0" fontId="955" fillId="5" borderId="3" xfId="0" applyFont="1" applyFill="1" applyBorder="1" applyAlignment="1">
      <alignment horizontal="left" vertical="top" wrapText="1"/>
    </xf>
    <xf numFmtId="0" fontId="956" fillId="5" borderId="3" xfId="0" applyFont="1" applyFill="1" applyBorder="1" applyAlignment="1">
      <alignment horizontal="left" vertical="top" wrapText="1"/>
    </xf>
    <xf numFmtId="0" fontId="957" fillId="5" borderId="3" xfId="0" applyFont="1" applyFill="1" applyBorder="1" applyAlignment="1">
      <alignment horizontal="left" vertical="top" wrapText="1"/>
    </xf>
    <xf numFmtId="0" fontId="958" fillId="5" borderId="3" xfId="0" applyFont="1" applyFill="1" applyBorder="1" applyAlignment="1">
      <alignment horizontal="left" vertical="top" wrapText="1"/>
    </xf>
    <xf numFmtId="0" fontId="959" fillId="5" borderId="3" xfId="0" applyFont="1" applyFill="1" applyBorder="1" applyAlignment="1">
      <alignment horizontal="left" vertical="top" wrapText="1"/>
    </xf>
    <xf numFmtId="0" fontId="960" fillId="5" borderId="3" xfId="0" applyFont="1" applyFill="1" applyBorder="1" applyAlignment="1">
      <alignment horizontal="left" vertical="top" wrapText="1"/>
    </xf>
    <xf numFmtId="0" fontId="961" fillId="5" borderId="3" xfId="0" applyFont="1" applyFill="1" applyBorder="1" applyAlignment="1">
      <alignment horizontal="left" vertical="top" wrapText="1"/>
    </xf>
    <xf numFmtId="0" fontId="962" fillId="5" borderId="3" xfId="0" applyFont="1" applyFill="1" applyBorder="1" applyAlignment="1">
      <alignment horizontal="left" vertical="top" wrapText="1"/>
    </xf>
    <xf numFmtId="0" fontId="963" fillId="5" borderId="3" xfId="0" applyFont="1" applyFill="1" applyBorder="1" applyAlignment="1">
      <alignment horizontal="left" vertical="top" wrapText="1"/>
    </xf>
    <xf numFmtId="0" fontId="964" fillId="5" borderId="3" xfId="0" applyFont="1" applyFill="1" applyBorder="1" applyAlignment="1">
      <alignment horizontal="left" vertical="top" wrapText="1"/>
    </xf>
    <xf numFmtId="0" fontId="965" fillId="5" borderId="3" xfId="0" applyFont="1" applyFill="1" applyBorder="1" applyAlignment="1">
      <alignment horizontal="left" vertical="top" wrapText="1"/>
    </xf>
    <xf numFmtId="0" fontId="966" fillId="5" borderId="3" xfId="0" applyFont="1" applyFill="1" applyBorder="1" applyAlignment="1">
      <alignment horizontal="left" vertical="top" wrapText="1"/>
    </xf>
    <xf numFmtId="0" fontId="967" fillId="5" borderId="3" xfId="0" applyFont="1" applyFill="1" applyBorder="1" applyAlignment="1">
      <alignment horizontal="left" vertical="top" wrapText="1"/>
    </xf>
    <xf numFmtId="0" fontId="968" fillId="5" borderId="3" xfId="0" applyFont="1" applyFill="1" applyBorder="1" applyAlignment="1">
      <alignment horizontal="left" vertical="top" wrapText="1"/>
    </xf>
    <xf numFmtId="0" fontId="969" fillId="5" borderId="3" xfId="0" applyFont="1" applyFill="1" applyBorder="1" applyAlignment="1">
      <alignment horizontal="left" vertical="top" wrapText="1"/>
    </xf>
    <xf numFmtId="0" fontId="970" fillId="5" borderId="3" xfId="0" applyFont="1" applyFill="1" applyBorder="1" applyAlignment="1">
      <alignment horizontal="left" vertical="top" wrapText="1"/>
    </xf>
    <xf numFmtId="0" fontId="971" fillId="5" borderId="3" xfId="0" applyFont="1" applyFill="1" applyBorder="1" applyAlignment="1">
      <alignment horizontal="left" vertical="top" wrapText="1"/>
    </xf>
    <xf numFmtId="0" fontId="972" fillId="5" borderId="3" xfId="0" applyFont="1" applyFill="1" applyBorder="1" applyAlignment="1">
      <alignment horizontal="left" vertical="top" wrapText="1"/>
    </xf>
    <xf numFmtId="0" fontId="973" fillId="5" borderId="3" xfId="0" applyFont="1" applyFill="1" applyBorder="1" applyAlignment="1">
      <alignment horizontal="left" vertical="top" wrapText="1"/>
    </xf>
    <xf numFmtId="0" fontId="974" fillId="5" borderId="3" xfId="0" applyFont="1" applyFill="1" applyBorder="1" applyAlignment="1">
      <alignment horizontal="left" vertical="top" wrapText="1"/>
    </xf>
    <xf numFmtId="0" fontId="975" fillId="5" borderId="3" xfId="0" applyFont="1" applyFill="1" applyBorder="1" applyAlignment="1">
      <alignment horizontal="left" vertical="top" wrapText="1"/>
    </xf>
    <xf numFmtId="0" fontId="976" fillId="5" borderId="3" xfId="0" applyFont="1" applyFill="1" applyBorder="1" applyAlignment="1">
      <alignment horizontal="left" vertical="top" wrapText="1"/>
    </xf>
    <xf numFmtId="0" fontId="977" fillId="5" borderId="3" xfId="0" applyFont="1" applyFill="1" applyBorder="1" applyAlignment="1">
      <alignment horizontal="left" vertical="top" wrapText="1"/>
    </xf>
    <xf numFmtId="0" fontId="978" fillId="5" borderId="3" xfId="0" applyFont="1" applyFill="1" applyBorder="1" applyAlignment="1">
      <alignment horizontal="left" vertical="top" wrapText="1"/>
    </xf>
    <xf numFmtId="0" fontId="979" fillId="5" borderId="3" xfId="0" applyFont="1" applyFill="1" applyBorder="1" applyAlignment="1">
      <alignment horizontal="left" vertical="top" wrapText="1"/>
    </xf>
    <xf numFmtId="0" fontId="980" fillId="5" borderId="3" xfId="0" applyFont="1" applyFill="1" applyBorder="1" applyAlignment="1">
      <alignment horizontal="left" vertical="top" wrapText="1"/>
    </xf>
    <xf numFmtId="0" fontId="981" fillId="5" borderId="3" xfId="0" applyFont="1" applyFill="1" applyBorder="1" applyAlignment="1">
      <alignment horizontal="left" vertical="top" wrapText="1"/>
    </xf>
    <xf numFmtId="0" fontId="982" fillId="5" borderId="3" xfId="0" applyFont="1" applyFill="1" applyBorder="1" applyAlignment="1">
      <alignment horizontal="left" vertical="top" wrapText="1"/>
    </xf>
    <xf numFmtId="0" fontId="983" fillId="5" borderId="3" xfId="0" applyFont="1" applyFill="1" applyBorder="1" applyAlignment="1">
      <alignment horizontal="left" vertical="top" wrapText="1"/>
    </xf>
    <xf numFmtId="0" fontId="984" fillId="5" borderId="3" xfId="0" applyFont="1" applyFill="1" applyBorder="1" applyAlignment="1">
      <alignment horizontal="left" vertical="top" wrapText="1"/>
    </xf>
    <xf numFmtId="0" fontId="985" fillId="5" borderId="3" xfId="0" applyFont="1" applyFill="1" applyBorder="1" applyAlignment="1">
      <alignment horizontal="left" vertical="top" wrapText="1"/>
    </xf>
    <xf numFmtId="0" fontId="986" fillId="5" borderId="3" xfId="0" applyFont="1" applyFill="1" applyBorder="1" applyAlignment="1">
      <alignment horizontal="left" vertical="top" wrapText="1"/>
    </xf>
    <xf numFmtId="0" fontId="987" fillId="5" borderId="3" xfId="0" applyFont="1" applyFill="1" applyBorder="1" applyAlignment="1">
      <alignment horizontal="left" vertical="top" wrapText="1"/>
    </xf>
    <xf numFmtId="0" fontId="988" fillId="5" borderId="3" xfId="0" applyFont="1" applyFill="1" applyBorder="1" applyAlignment="1">
      <alignment horizontal="left" vertical="top" wrapText="1"/>
    </xf>
    <xf numFmtId="49" fontId="0" fillId="0" borderId="0" xfId="0" applyNumberFormat="1"/>
    <xf numFmtId="0" fontId="989" fillId="3" borderId="3" xfId="0" applyFont="1" applyFill="1" applyBorder="1" applyAlignment="1">
      <alignment horizontal="left" vertical="top" wrapText="1"/>
    </xf>
    <xf numFmtId="0" fontId="992" fillId="4" borderId="3" xfId="0" applyFont="1" applyFill="1" applyBorder="1" applyAlignment="1">
      <alignment horizontal="center" vertical="top" wrapText="1"/>
    </xf>
    <xf numFmtId="0" fontId="993" fillId="5" borderId="3" xfId="0" applyFont="1" applyFill="1" applyBorder="1" applyAlignment="1">
      <alignment horizontal="left" vertical="top" wrapText="1"/>
    </xf>
    <xf numFmtId="0" fontId="994" fillId="5" borderId="3" xfId="0" applyFont="1" applyFill="1" applyBorder="1" applyAlignment="1">
      <alignment horizontal="left" vertical="top" wrapText="1"/>
    </xf>
    <xf numFmtId="0" fontId="996" fillId="5" borderId="3" xfId="0" applyFont="1" applyFill="1" applyBorder="1" applyAlignment="1">
      <alignment horizontal="left" vertical="top" wrapText="1"/>
    </xf>
    <xf numFmtId="0" fontId="997" fillId="5" borderId="3" xfId="0" applyFont="1" applyFill="1" applyBorder="1" applyAlignment="1">
      <alignment horizontal="left" vertical="top" wrapText="1"/>
    </xf>
    <xf numFmtId="0" fontId="998" fillId="5" borderId="3" xfId="0" applyFont="1" applyFill="1" applyBorder="1" applyAlignment="1">
      <alignment horizontal="left" vertical="top" wrapText="1"/>
    </xf>
    <xf numFmtId="0" fontId="999" fillId="5" borderId="3" xfId="0" applyFont="1" applyFill="1" applyBorder="1" applyAlignment="1">
      <alignment horizontal="left" vertical="top" wrapText="1"/>
    </xf>
    <xf numFmtId="0" fontId="1001" fillId="5" borderId="3" xfId="0" applyFont="1" applyFill="1" applyBorder="1" applyAlignment="1">
      <alignment horizontal="left" vertical="top" wrapText="1"/>
    </xf>
    <xf numFmtId="49" fontId="0" fillId="0" borderId="0" xfId="0" applyNumberFormat="1"/>
    <xf numFmtId="0" fontId="1004" fillId="4" borderId="3" xfId="0" applyFont="1" applyFill="1" applyBorder="1" applyAlignment="1">
      <alignment horizontal="center" vertical="top" wrapText="1"/>
    </xf>
    <xf numFmtId="0" fontId="1005" fillId="5" borderId="3" xfId="0" applyFont="1" applyFill="1" applyBorder="1" applyAlignment="1">
      <alignment horizontal="left" vertical="top" wrapText="1"/>
    </xf>
    <xf numFmtId="0" fontId="1006" fillId="5" borderId="3" xfId="0" applyFont="1" applyFill="1" applyBorder="1" applyAlignment="1">
      <alignment horizontal="left" vertical="top" wrapText="1"/>
    </xf>
    <xf numFmtId="0" fontId="1007" fillId="5" borderId="3" xfId="0" applyFont="1" applyFill="1" applyBorder="1" applyAlignment="1">
      <alignment horizontal="left" vertical="top" wrapText="1"/>
    </xf>
    <xf numFmtId="0" fontId="1008" fillId="5" borderId="3" xfId="0" applyFont="1" applyFill="1" applyBorder="1" applyAlignment="1">
      <alignment horizontal="left" vertical="top" wrapText="1"/>
    </xf>
    <xf numFmtId="0" fontId="1009" fillId="5" borderId="3" xfId="0" applyFont="1" applyFill="1" applyBorder="1" applyAlignment="1">
      <alignment horizontal="left" vertical="top" wrapText="1"/>
    </xf>
    <xf numFmtId="0" fontId="1010" fillId="5" borderId="3" xfId="0" applyFont="1" applyFill="1" applyBorder="1" applyAlignment="1">
      <alignment horizontal="left" vertical="top" wrapText="1"/>
    </xf>
    <xf numFmtId="0" fontId="1011" fillId="5" borderId="3" xfId="0" applyFont="1" applyFill="1" applyBorder="1" applyAlignment="1">
      <alignment horizontal="left" vertical="top" wrapText="1"/>
    </xf>
    <xf numFmtId="0" fontId="1012" fillId="5" borderId="3" xfId="0" applyFont="1" applyFill="1" applyBorder="1" applyAlignment="1">
      <alignment horizontal="left" vertical="top" wrapText="1"/>
    </xf>
    <xf numFmtId="0" fontId="1013" fillId="5" borderId="3" xfId="0" applyFont="1" applyFill="1" applyBorder="1" applyAlignment="1">
      <alignment horizontal="left" vertical="top" wrapText="1"/>
    </xf>
    <xf numFmtId="0" fontId="1015" fillId="5" borderId="3" xfId="0" applyFont="1" applyFill="1" applyBorder="1" applyAlignment="1">
      <alignment horizontal="left" vertical="top" wrapText="1"/>
    </xf>
    <xf numFmtId="0" fontId="1016" fillId="5" borderId="3" xfId="0" applyFont="1" applyFill="1" applyBorder="1" applyAlignment="1">
      <alignment horizontal="left" vertical="top" wrapText="1"/>
    </xf>
    <xf numFmtId="0" fontId="1019" fillId="5" borderId="3" xfId="0" applyFont="1" applyFill="1" applyBorder="1" applyAlignment="1">
      <alignment horizontal="left" vertical="top" wrapText="1"/>
    </xf>
    <xf numFmtId="0" fontId="1024" fillId="5" borderId="3" xfId="0" applyFont="1" applyFill="1" applyBorder="1" applyAlignment="1">
      <alignment horizontal="left" vertical="top" wrapText="1"/>
    </xf>
    <xf numFmtId="0" fontId="1025" fillId="5" borderId="3" xfId="0" applyFont="1" applyFill="1" applyBorder="1" applyAlignment="1">
      <alignment horizontal="left" vertical="top" wrapText="1"/>
    </xf>
    <xf numFmtId="0" fontId="1026" fillId="5" borderId="3" xfId="0" applyFont="1" applyFill="1" applyBorder="1" applyAlignment="1">
      <alignment horizontal="left" vertical="top" wrapText="1"/>
    </xf>
    <xf numFmtId="0" fontId="1027" fillId="5" borderId="3" xfId="0" applyFont="1" applyFill="1" applyBorder="1" applyAlignment="1">
      <alignment horizontal="left" vertical="top" wrapText="1"/>
    </xf>
    <xf numFmtId="0" fontId="1028" fillId="5" borderId="3" xfId="0" applyFont="1" applyFill="1" applyBorder="1" applyAlignment="1">
      <alignment horizontal="left" vertical="top" wrapText="1"/>
    </xf>
    <xf numFmtId="0" fontId="1029" fillId="5" borderId="3" xfId="0" applyFont="1" applyFill="1" applyBorder="1" applyAlignment="1">
      <alignment horizontal="left" vertical="top" wrapText="1"/>
    </xf>
    <xf numFmtId="0" fontId="1030" fillId="5" borderId="3" xfId="0" applyFont="1" applyFill="1" applyBorder="1" applyAlignment="1">
      <alignment horizontal="left" vertical="top" wrapText="1"/>
    </xf>
    <xf numFmtId="0" fontId="1031" fillId="5" borderId="3" xfId="0" applyFont="1" applyFill="1" applyBorder="1" applyAlignment="1">
      <alignment horizontal="left" vertical="top" wrapText="1"/>
    </xf>
    <xf numFmtId="0" fontId="1032" fillId="5" borderId="3" xfId="0" applyFont="1" applyFill="1" applyBorder="1" applyAlignment="1">
      <alignment horizontal="left" vertical="top" wrapText="1"/>
    </xf>
    <xf numFmtId="0" fontId="1033" fillId="5" borderId="3" xfId="0" applyFont="1" applyFill="1" applyBorder="1" applyAlignment="1">
      <alignment horizontal="left" vertical="top" wrapText="1"/>
    </xf>
    <xf numFmtId="0" fontId="1034" fillId="5" borderId="3" xfId="0" applyFont="1" applyFill="1" applyBorder="1" applyAlignment="1">
      <alignment horizontal="left" vertical="top" wrapText="1"/>
    </xf>
    <xf numFmtId="0" fontId="1035" fillId="5" borderId="3" xfId="0" applyFont="1" applyFill="1" applyBorder="1" applyAlignment="1">
      <alignment horizontal="left" vertical="top" wrapText="1"/>
    </xf>
    <xf numFmtId="0" fontId="1036" fillId="5" borderId="3" xfId="0" applyFont="1" applyFill="1" applyBorder="1" applyAlignment="1">
      <alignment horizontal="left" vertical="top" wrapText="1"/>
    </xf>
    <xf numFmtId="0" fontId="1037" fillId="5" borderId="3" xfId="0" applyFont="1" applyFill="1" applyBorder="1" applyAlignment="1">
      <alignment horizontal="left" vertical="top" wrapText="1"/>
    </xf>
    <xf numFmtId="0" fontId="1038" fillId="5" borderId="3" xfId="0" applyFont="1" applyFill="1" applyBorder="1" applyAlignment="1">
      <alignment horizontal="left" vertical="top" wrapText="1"/>
    </xf>
    <xf numFmtId="0" fontId="1039" fillId="5" borderId="3" xfId="0" applyFont="1" applyFill="1" applyBorder="1" applyAlignment="1">
      <alignment horizontal="left" vertical="top" wrapText="1"/>
    </xf>
    <xf numFmtId="0" fontId="1040" fillId="5" borderId="3" xfId="0" applyFont="1" applyFill="1" applyBorder="1" applyAlignment="1">
      <alignment horizontal="left" vertical="top" wrapText="1"/>
    </xf>
    <xf numFmtId="0" fontId="1042" fillId="5" borderId="3" xfId="0" applyFont="1" applyFill="1" applyBorder="1" applyAlignment="1">
      <alignment horizontal="left" vertical="top" wrapText="1"/>
    </xf>
    <xf numFmtId="0" fontId="1043" fillId="5" borderId="3" xfId="0" applyFont="1" applyFill="1" applyBorder="1" applyAlignment="1">
      <alignment horizontal="left" vertical="top" wrapText="1"/>
    </xf>
    <xf numFmtId="0" fontId="1044" fillId="5" borderId="3" xfId="0" applyFont="1" applyFill="1" applyBorder="1" applyAlignment="1">
      <alignment horizontal="left" vertical="top" wrapText="1"/>
    </xf>
    <xf numFmtId="0" fontId="1045" fillId="5" borderId="3" xfId="0" applyFont="1" applyFill="1" applyBorder="1" applyAlignment="1">
      <alignment horizontal="left" vertical="top" wrapText="1"/>
    </xf>
    <xf numFmtId="0" fontId="1046" fillId="5" borderId="3" xfId="0" applyFont="1" applyFill="1" applyBorder="1" applyAlignment="1">
      <alignment horizontal="left" vertical="top" wrapText="1"/>
    </xf>
    <xf numFmtId="0" fontId="1055" fillId="5" borderId="3" xfId="0" applyFont="1" applyFill="1" applyBorder="1" applyAlignment="1">
      <alignment horizontal="left" vertical="top" wrapText="1"/>
    </xf>
    <xf numFmtId="49" fontId="0" fillId="0" borderId="0" xfId="0" applyNumberFormat="1"/>
    <xf numFmtId="0" fontId="1057" fillId="4" borderId="3" xfId="0" applyFont="1" applyFill="1" applyBorder="1" applyAlignment="1">
      <alignment horizontal="center" vertical="top" wrapText="1"/>
    </xf>
    <xf numFmtId="0" fontId="1058" fillId="5" borderId="3" xfId="0" applyFont="1" applyFill="1" applyBorder="1" applyAlignment="1">
      <alignment horizontal="center" vertical="top"/>
    </xf>
    <xf numFmtId="0" fontId="1059" fillId="5" borderId="3" xfId="0" applyFont="1" applyFill="1" applyBorder="1" applyAlignment="1">
      <alignment horizontal="center" vertical="top"/>
    </xf>
    <xf numFmtId="0" fontId="1060" fillId="5" borderId="3" xfId="0" applyFont="1" applyFill="1" applyBorder="1" applyAlignment="1">
      <alignment horizontal="left" vertical="top" wrapText="1"/>
    </xf>
    <xf numFmtId="0" fontId="1061" fillId="5" borderId="3" xfId="0" applyFont="1" applyFill="1" applyBorder="1" applyAlignment="1">
      <alignment horizontal="left" vertical="top" wrapText="1"/>
    </xf>
    <xf numFmtId="0" fontId="1062" fillId="5" borderId="3" xfId="0" applyFont="1" applyFill="1" applyBorder="1" applyAlignment="1">
      <alignment horizontal="left" vertical="top" wrapText="1"/>
    </xf>
    <xf numFmtId="0" fontId="1063" fillId="5" borderId="3" xfId="0" applyFont="1" applyFill="1" applyBorder="1" applyAlignment="1">
      <alignment horizontal="left" vertical="top" wrapText="1"/>
    </xf>
    <xf numFmtId="0" fontId="1064" fillId="5" borderId="3" xfId="0" applyFont="1" applyFill="1" applyBorder="1" applyAlignment="1">
      <alignment horizontal="left" vertical="top" wrapText="1"/>
    </xf>
    <xf numFmtId="0" fontId="1065" fillId="5" borderId="3" xfId="0" applyFont="1" applyFill="1" applyBorder="1" applyAlignment="1">
      <alignment horizontal="left" vertical="top" wrapText="1"/>
    </xf>
    <xf numFmtId="0" fontId="1066" fillId="5" borderId="3" xfId="0" applyFont="1" applyFill="1" applyBorder="1" applyAlignment="1">
      <alignment horizontal="left" vertical="top" wrapText="1"/>
    </xf>
    <xf numFmtId="0" fontId="1067" fillId="5" borderId="3" xfId="0" applyFont="1" applyFill="1" applyBorder="1" applyAlignment="1">
      <alignment horizontal="left" vertical="top" wrapText="1"/>
    </xf>
    <xf numFmtId="0" fontId="1068" fillId="5" borderId="3" xfId="0" applyFont="1" applyFill="1" applyBorder="1" applyAlignment="1">
      <alignment horizontal="left" vertical="top" wrapText="1"/>
    </xf>
    <xf numFmtId="0" fontId="1069" fillId="5" borderId="3" xfId="0" applyFont="1" applyFill="1" applyBorder="1" applyAlignment="1">
      <alignment horizontal="left" vertical="top" wrapText="1"/>
    </xf>
    <xf numFmtId="0" fontId="1070" fillId="5" borderId="3" xfId="0" applyFont="1" applyFill="1" applyBorder="1" applyAlignment="1">
      <alignment horizontal="left" vertical="top" wrapText="1"/>
    </xf>
    <xf numFmtId="0" fontId="1071" fillId="5" borderId="3" xfId="0" applyFont="1" applyFill="1" applyBorder="1" applyAlignment="1">
      <alignment horizontal="left" vertical="top" wrapText="1"/>
    </xf>
    <xf numFmtId="0" fontId="1076" fillId="5" borderId="3" xfId="0" applyFont="1" applyFill="1" applyBorder="1" applyAlignment="1">
      <alignment horizontal="left" vertical="top" wrapText="1"/>
    </xf>
    <xf numFmtId="0" fontId="1077" fillId="5" borderId="3" xfId="0" applyFont="1" applyFill="1" applyBorder="1" applyAlignment="1">
      <alignment horizontal="left" vertical="top" wrapText="1"/>
    </xf>
    <xf numFmtId="0" fontId="1078" fillId="5" borderId="3" xfId="0" applyFont="1" applyFill="1" applyBorder="1" applyAlignment="1">
      <alignment horizontal="left" vertical="top" wrapText="1"/>
    </xf>
    <xf numFmtId="0" fontId="1079" fillId="5" borderId="3" xfId="0" applyFont="1" applyFill="1" applyBorder="1" applyAlignment="1">
      <alignment horizontal="left" vertical="top" wrapText="1"/>
    </xf>
    <xf numFmtId="0" fontId="1082" fillId="5" borderId="3" xfId="0" applyFont="1" applyFill="1" applyBorder="1" applyAlignment="1">
      <alignment horizontal="left" vertical="top" wrapText="1"/>
    </xf>
    <xf numFmtId="0" fontId="1083" fillId="5" borderId="3" xfId="0" applyFont="1" applyFill="1" applyBorder="1" applyAlignment="1">
      <alignment horizontal="left" vertical="top" wrapText="1"/>
    </xf>
    <xf numFmtId="0" fontId="1084" fillId="5" borderId="3" xfId="0" applyFont="1" applyFill="1" applyBorder="1" applyAlignment="1">
      <alignment horizontal="center" vertical="top"/>
    </xf>
    <xf numFmtId="0" fontId="1085" fillId="5" borderId="3" xfId="0" applyFont="1" applyFill="1" applyBorder="1" applyAlignment="1">
      <alignment horizontal="center" vertical="top"/>
    </xf>
    <xf numFmtId="0" fontId="1086" fillId="5" borderId="3" xfId="0" applyFont="1" applyFill="1" applyBorder="1" applyAlignment="1">
      <alignment horizontal="center" vertical="top"/>
    </xf>
    <xf numFmtId="0" fontId="1087" fillId="5" borderId="3" xfId="0" applyFont="1" applyFill="1" applyBorder="1" applyAlignment="1">
      <alignment horizontal="center" vertical="top"/>
    </xf>
    <xf numFmtId="49" fontId="0" fillId="0" borderId="0" xfId="0" applyNumberFormat="1"/>
    <xf numFmtId="0" fontId="0" fillId="0" borderId="0" xfId="0"/>
    <xf numFmtId="165" fontId="41" fillId="4" borderId="3" xfId="9" applyNumberFormat="1" applyFont="1" applyFill="1" applyBorder="1" applyAlignment="1">
      <alignment horizontal="center" vertical="top" wrapText="1"/>
    </xf>
    <xf numFmtId="165" fontId="510" fillId="5" borderId="3" xfId="9" applyNumberFormat="1" applyFont="1" applyFill="1" applyBorder="1" applyAlignment="1">
      <alignment horizontal="left" vertical="top" wrapText="1"/>
    </xf>
    <xf numFmtId="165" fontId="130" fillId="5" borderId="3" xfId="9" applyNumberFormat="1" applyFont="1" applyFill="1" applyBorder="1" applyAlignment="1">
      <alignment horizontal="left" vertical="top" wrapText="1"/>
    </xf>
    <xf numFmtId="165" fontId="242" fillId="5" borderId="3" xfId="9" applyNumberFormat="1" applyFont="1" applyFill="1" applyBorder="1" applyAlignment="1">
      <alignment horizontal="left" vertical="top" wrapText="1"/>
    </xf>
    <xf numFmtId="165" fontId="220" fillId="5" borderId="3" xfId="9" applyNumberFormat="1" applyFont="1" applyFill="1" applyBorder="1" applyAlignment="1">
      <alignment horizontal="left" vertical="top" wrapText="1"/>
    </xf>
    <xf numFmtId="165" fontId="290" fillId="5" borderId="3" xfId="9" applyNumberFormat="1" applyFont="1" applyFill="1" applyBorder="1" applyAlignment="1">
      <alignment horizontal="left" vertical="top" wrapText="1"/>
    </xf>
    <xf numFmtId="165" fontId="139" fillId="5" borderId="3" xfId="9" applyNumberFormat="1" applyFont="1" applyFill="1" applyBorder="1" applyAlignment="1">
      <alignment horizontal="left" vertical="top" wrapText="1"/>
    </xf>
    <xf numFmtId="165" fontId="221" fillId="5" borderId="3" xfId="9" applyNumberFormat="1" applyFont="1" applyFill="1" applyBorder="1" applyAlignment="1">
      <alignment horizontal="left" vertical="top" wrapText="1"/>
    </xf>
    <xf numFmtId="165" fontId="291" fillId="5" borderId="3" xfId="9" applyNumberFormat="1" applyFont="1" applyFill="1" applyBorder="1" applyAlignment="1">
      <alignment horizontal="left" vertical="top" wrapText="1"/>
    </xf>
    <xf numFmtId="165" fontId="140" fillId="5" borderId="3" xfId="9" applyNumberFormat="1" applyFont="1" applyFill="1" applyBorder="1" applyAlignment="1">
      <alignment horizontal="left" vertical="top" wrapText="1"/>
    </xf>
    <xf numFmtId="165" fontId="222" fillId="5" borderId="3" xfId="9" applyNumberFormat="1" applyFont="1" applyFill="1" applyBorder="1" applyAlignment="1">
      <alignment horizontal="left" vertical="top" wrapText="1"/>
    </xf>
    <xf numFmtId="165" fontId="292" fillId="5" borderId="3" xfId="9" applyNumberFormat="1" applyFont="1" applyFill="1" applyBorder="1" applyAlignment="1">
      <alignment horizontal="left" vertical="top" wrapText="1"/>
    </xf>
    <xf numFmtId="165" fontId="141" fillId="5" borderId="3" xfId="9" applyNumberFormat="1" applyFont="1" applyFill="1" applyBorder="1" applyAlignment="1">
      <alignment horizontal="left" vertical="top" wrapText="1"/>
    </xf>
    <xf numFmtId="165" fontId="219" fillId="5" borderId="3" xfId="9" applyNumberFormat="1" applyFont="1" applyFill="1" applyBorder="1" applyAlignment="1">
      <alignment horizontal="left" vertical="top" wrapText="1"/>
    </xf>
    <xf numFmtId="165" fontId="289" fillId="5" borderId="3" xfId="9" applyNumberFormat="1" applyFont="1" applyFill="1" applyBorder="1" applyAlignment="1">
      <alignment horizontal="left" vertical="top" wrapText="1"/>
    </xf>
    <xf numFmtId="165" fontId="138" fillId="5" borderId="3" xfId="9" applyNumberFormat="1" applyFont="1" applyFill="1" applyBorder="1" applyAlignment="1">
      <alignment horizontal="left" vertical="top" wrapText="1"/>
    </xf>
    <xf numFmtId="165" fontId="393" fillId="5" borderId="3" xfId="9" applyNumberFormat="1" applyFont="1" applyFill="1" applyBorder="1" applyAlignment="1">
      <alignment horizontal="left" vertical="top" wrapText="1"/>
    </xf>
    <xf numFmtId="165" fontId="131" fillId="5" borderId="3" xfId="9" applyNumberFormat="1" applyFont="1" applyFill="1" applyBorder="1" applyAlignment="1">
      <alignment horizontal="left" vertical="top" wrapText="1"/>
    </xf>
    <xf numFmtId="165" fontId="243" fillId="5" borderId="3" xfId="9" applyNumberFormat="1" applyFont="1" applyFill="1" applyBorder="1" applyAlignment="1">
      <alignment horizontal="left" vertical="top" wrapText="1"/>
    </xf>
    <xf numFmtId="165" fontId="223" fillId="5" borderId="3" xfId="9" applyNumberFormat="1" applyFont="1" applyFill="1" applyBorder="1" applyAlignment="1">
      <alignment horizontal="left" vertical="top" wrapText="1"/>
    </xf>
    <xf numFmtId="165" fontId="293" fillId="5" borderId="3" xfId="9" applyNumberFormat="1" applyFont="1" applyFill="1" applyBorder="1" applyAlignment="1">
      <alignment horizontal="left" vertical="top" wrapText="1"/>
    </xf>
    <xf numFmtId="165" fontId="142" fillId="5" borderId="3" xfId="9" applyNumberFormat="1" applyFont="1" applyFill="1" applyBorder="1" applyAlignment="1">
      <alignment horizontal="left" vertical="top" wrapText="1"/>
    </xf>
    <xf numFmtId="165" fontId="394" fillId="5" borderId="3" xfId="9" applyNumberFormat="1" applyFont="1" applyFill="1" applyBorder="1" applyAlignment="1">
      <alignment horizontal="left" vertical="top" wrapText="1"/>
    </xf>
    <xf numFmtId="165" fontId="132" fillId="5" borderId="3" xfId="9" applyNumberFormat="1" applyFont="1" applyFill="1" applyBorder="1" applyAlignment="1">
      <alignment horizontal="left" vertical="top" wrapText="1"/>
    </xf>
    <xf numFmtId="165" fontId="285" fillId="5" borderId="3" xfId="9" applyNumberFormat="1" applyFont="1" applyFill="1" applyBorder="1" applyAlignment="1">
      <alignment horizontal="left" vertical="top" wrapText="1"/>
    </xf>
    <xf numFmtId="165" fontId="395" fillId="5" borderId="3" xfId="9" applyNumberFormat="1" applyFont="1" applyFill="1" applyBorder="1" applyAlignment="1">
      <alignment horizontal="left" vertical="top" wrapText="1"/>
    </xf>
    <xf numFmtId="165" fontId="133" fillId="5" borderId="3" xfId="9" applyNumberFormat="1" applyFont="1" applyFill="1" applyBorder="1" applyAlignment="1">
      <alignment horizontal="left" vertical="top" wrapText="1"/>
    </xf>
    <xf numFmtId="165" fontId="286" fillId="5" borderId="3" xfId="9" applyNumberFormat="1" applyFont="1" applyFill="1" applyBorder="1" applyAlignment="1">
      <alignment horizontal="left" vertical="top" wrapText="1"/>
    </xf>
    <xf numFmtId="165" fontId="396" fillId="5" borderId="3" xfId="9" applyNumberFormat="1" applyFont="1" applyFill="1" applyBorder="1" applyAlignment="1">
      <alignment horizontal="left" vertical="top" wrapText="1"/>
    </xf>
    <xf numFmtId="165" fontId="134" fillId="5" borderId="3" xfId="9" applyNumberFormat="1" applyFont="1" applyFill="1" applyBorder="1" applyAlignment="1">
      <alignment horizontal="left" vertical="top" wrapText="1"/>
    </xf>
    <xf numFmtId="165" fontId="287" fillId="5" borderId="3" xfId="9" applyNumberFormat="1" applyFont="1" applyFill="1" applyBorder="1" applyAlignment="1">
      <alignment horizontal="left" vertical="top" wrapText="1"/>
    </xf>
    <xf numFmtId="165" fontId="224" fillId="5" borderId="3" xfId="9" applyNumberFormat="1" applyFont="1" applyFill="1" applyBorder="1" applyAlignment="1">
      <alignment horizontal="left" vertical="top" wrapText="1"/>
    </xf>
    <xf numFmtId="165" fontId="294" fillId="5" borderId="3" xfId="9" applyNumberFormat="1" applyFont="1" applyFill="1" applyBorder="1" applyAlignment="1">
      <alignment horizontal="left" vertical="top" wrapText="1"/>
    </xf>
    <xf numFmtId="165" fontId="143" fillId="5" borderId="3" xfId="9" applyNumberFormat="1" applyFont="1" applyFill="1" applyBorder="1" applyAlignment="1">
      <alignment horizontal="left" vertical="top" wrapText="1"/>
    </xf>
    <xf numFmtId="165" fontId="397" fillId="5" borderId="3" xfId="9" applyNumberFormat="1" applyFont="1" applyFill="1" applyBorder="1" applyAlignment="1">
      <alignment horizontal="left" vertical="top" wrapText="1"/>
    </xf>
    <xf numFmtId="165" fontId="135" fillId="5" borderId="3" xfId="9" applyNumberFormat="1" applyFont="1" applyFill="1" applyBorder="1" applyAlignment="1">
      <alignment horizontal="left" vertical="top" wrapText="1"/>
    </xf>
    <xf numFmtId="165" fontId="460" fillId="5" borderId="3" xfId="9" applyNumberFormat="1" applyFont="1" applyFill="1" applyBorder="1" applyAlignment="1">
      <alignment horizontal="left" vertical="top" wrapText="1"/>
    </xf>
    <xf numFmtId="165" fontId="398" fillId="5" borderId="3" xfId="9" applyNumberFormat="1" applyFont="1" applyFill="1" applyBorder="1" applyAlignment="1">
      <alignment horizontal="left" vertical="top" wrapText="1"/>
    </xf>
    <xf numFmtId="165" fontId="136" fillId="5" borderId="3" xfId="9" applyNumberFormat="1" applyFont="1" applyFill="1" applyBorder="1" applyAlignment="1">
      <alignment horizontal="left" vertical="top" wrapText="1"/>
    </xf>
    <xf numFmtId="165" fontId="461" fillId="5" borderId="3" xfId="9" applyNumberFormat="1" applyFont="1" applyFill="1" applyBorder="1" applyAlignment="1">
      <alignment horizontal="left" vertical="top" wrapText="1"/>
    </xf>
    <xf numFmtId="165" fontId="399" fillId="5" borderId="3" xfId="9" applyNumberFormat="1" applyFont="1" applyFill="1" applyBorder="1" applyAlignment="1">
      <alignment horizontal="left" vertical="top" wrapText="1"/>
    </xf>
    <xf numFmtId="165" fontId="137" fillId="5" borderId="3" xfId="9" applyNumberFormat="1" applyFont="1" applyFill="1" applyBorder="1" applyAlignment="1">
      <alignment horizontal="left" vertical="top" wrapText="1"/>
    </xf>
    <xf numFmtId="165" fontId="462" fillId="5" borderId="3" xfId="9" applyNumberFormat="1" applyFont="1" applyFill="1" applyBorder="1" applyAlignment="1">
      <alignment horizontal="left" vertical="top" wrapText="1"/>
    </xf>
    <xf numFmtId="165" fontId="225" fillId="5" borderId="3" xfId="9" applyNumberFormat="1" applyFont="1" applyFill="1" applyBorder="1" applyAlignment="1">
      <alignment horizontal="left" vertical="top" wrapText="1"/>
    </xf>
    <xf numFmtId="165" fontId="295" fillId="5" borderId="3" xfId="9" applyNumberFormat="1" applyFont="1" applyFill="1" applyBorder="1" applyAlignment="1">
      <alignment horizontal="left" vertical="top" wrapText="1"/>
    </xf>
    <xf numFmtId="165" fontId="144" fillId="5" borderId="3" xfId="9" applyNumberFormat="1" applyFont="1" applyFill="1" applyBorder="1" applyAlignment="1">
      <alignment horizontal="left" vertical="top" wrapText="1"/>
    </xf>
    <xf numFmtId="165" fontId="400" fillId="5" borderId="3" xfId="9" applyNumberFormat="1" applyFont="1" applyFill="1" applyBorder="1" applyAlignment="1">
      <alignment horizontal="left" vertical="top" wrapText="1"/>
    </xf>
    <xf numFmtId="165" fontId="89" fillId="5" borderId="3" xfId="9" applyNumberFormat="1" applyFont="1" applyFill="1" applyBorder="1" applyAlignment="1">
      <alignment horizontal="left" vertical="top" wrapText="1"/>
    </xf>
    <xf numFmtId="165" fontId="463" fillId="5" borderId="3" xfId="9" applyNumberFormat="1" applyFont="1" applyFill="1" applyBorder="1" applyAlignment="1">
      <alignment horizontal="left" vertical="top" wrapText="1"/>
    </xf>
    <xf numFmtId="165" fontId="401" fillId="5" borderId="3" xfId="9" applyNumberFormat="1" applyFont="1" applyFill="1" applyBorder="1" applyAlignment="1">
      <alignment horizontal="left" vertical="top" wrapText="1"/>
    </xf>
    <xf numFmtId="165" fontId="90" fillId="5" borderId="3" xfId="9" applyNumberFormat="1" applyFont="1" applyFill="1" applyBorder="1" applyAlignment="1">
      <alignment horizontal="left" vertical="top" wrapText="1"/>
    </xf>
    <xf numFmtId="165" fontId="84" fillId="5" borderId="3" xfId="9" applyNumberFormat="1" applyFont="1" applyFill="1" applyBorder="1" applyAlignment="1">
      <alignment horizontal="left" vertical="top" wrapText="1"/>
    </xf>
    <xf numFmtId="165" fontId="226" fillId="5" borderId="3" xfId="9" applyNumberFormat="1" applyFont="1" applyFill="1" applyBorder="1" applyAlignment="1">
      <alignment horizontal="left" vertical="top" wrapText="1"/>
    </xf>
    <xf numFmtId="165" fontId="296" fillId="5" borderId="3" xfId="9" applyNumberFormat="1" applyFont="1" applyFill="1" applyBorder="1" applyAlignment="1">
      <alignment horizontal="left" vertical="top" wrapText="1"/>
    </xf>
    <xf numFmtId="165" fontId="378" fillId="5" borderId="3" xfId="9" applyNumberFormat="1" applyFont="1" applyFill="1" applyBorder="1" applyAlignment="1">
      <alignment horizontal="left" vertical="top" wrapText="1"/>
    </xf>
    <xf numFmtId="165" fontId="227" fillId="5" borderId="3" xfId="9" applyNumberFormat="1" applyFont="1" applyFill="1" applyBorder="1" applyAlignment="1">
      <alignment horizontal="left" vertical="top" wrapText="1"/>
    </xf>
    <xf numFmtId="165" fontId="297" fillId="5" borderId="3" xfId="9" applyNumberFormat="1" applyFont="1" applyFill="1" applyBorder="1" applyAlignment="1">
      <alignment horizontal="left" vertical="top" wrapText="1"/>
    </xf>
    <xf numFmtId="165" fontId="379" fillId="5" borderId="3" xfId="9" applyNumberFormat="1" applyFont="1" applyFill="1" applyBorder="1" applyAlignment="1">
      <alignment horizontal="left" vertical="top" wrapText="1"/>
    </xf>
    <xf numFmtId="165" fontId="402" fillId="5" borderId="3" xfId="9" applyNumberFormat="1" applyFont="1" applyFill="1" applyBorder="1" applyAlignment="1">
      <alignment horizontal="left" vertical="top" wrapText="1"/>
    </xf>
    <xf numFmtId="165" fontId="91" fillId="5" borderId="3" xfId="9" applyNumberFormat="1" applyFont="1" applyFill="1" applyBorder="1" applyAlignment="1">
      <alignment horizontal="left" vertical="top" wrapText="1"/>
    </xf>
    <xf numFmtId="165" fontId="85" fillId="5" borderId="3" xfId="9" applyNumberFormat="1" applyFont="1" applyFill="1" applyBorder="1" applyAlignment="1">
      <alignment horizontal="left" vertical="top" wrapText="1"/>
    </xf>
    <xf numFmtId="165" fontId="403" fillId="5" borderId="3" xfId="9" applyNumberFormat="1" applyFont="1" applyFill="1" applyBorder="1" applyAlignment="1">
      <alignment horizontal="left" vertical="top" wrapText="1"/>
    </xf>
    <xf numFmtId="165" fontId="92" fillId="5" borderId="3" xfId="9" applyNumberFormat="1" applyFont="1" applyFill="1" applyBorder="1" applyAlignment="1">
      <alignment horizontal="left" vertical="top" wrapText="1"/>
    </xf>
    <xf numFmtId="165" fontId="86" fillId="5" borderId="3" xfId="9" applyNumberFormat="1" applyFont="1" applyFill="1" applyBorder="1" applyAlignment="1">
      <alignment horizontal="left" vertical="top" wrapText="1"/>
    </xf>
    <xf numFmtId="165" fontId="404" fillId="5" borderId="3" xfId="9" applyNumberFormat="1" applyFont="1" applyFill="1" applyBorder="1" applyAlignment="1">
      <alignment horizontal="left" vertical="top" wrapText="1"/>
    </xf>
    <xf numFmtId="165" fontId="93" fillId="5" borderId="3" xfId="9" applyNumberFormat="1" applyFont="1" applyFill="1" applyBorder="1" applyAlignment="1">
      <alignment horizontal="left" vertical="top" wrapText="1"/>
    </xf>
    <xf numFmtId="165" fontId="87" fillId="5" borderId="3" xfId="9" applyNumberFormat="1" applyFont="1" applyFill="1" applyBorder="1" applyAlignment="1">
      <alignment horizontal="left" vertical="top" wrapText="1"/>
    </xf>
    <xf numFmtId="165" fontId="405" fillId="5" borderId="3" xfId="9" applyNumberFormat="1" applyFont="1" applyFill="1" applyBorder="1" applyAlignment="1">
      <alignment horizontal="left" vertical="top" wrapText="1"/>
    </xf>
    <xf numFmtId="165" fontId="94" fillId="5" borderId="3" xfId="9" applyNumberFormat="1" applyFont="1" applyFill="1" applyBorder="1" applyAlignment="1">
      <alignment horizontal="left" vertical="top" wrapText="1"/>
    </xf>
    <xf numFmtId="165" fontId="88" fillId="5" borderId="3" xfId="9" applyNumberFormat="1" applyFont="1" applyFill="1" applyBorder="1" applyAlignment="1">
      <alignment horizontal="left" vertical="top" wrapText="1"/>
    </xf>
    <xf numFmtId="165" fontId="406" fillId="5" borderId="3" xfId="9" applyNumberFormat="1" applyFont="1" applyFill="1" applyBorder="1" applyAlignment="1">
      <alignment horizontal="left" vertical="top" wrapText="1"/>
    </xf>
    <xf numFmtId="165" fontId="350" fillId="5" borderId="3" xfId="9" applyNumberFormat="1" applyFont="1" applyFill="1" applyBorder="1" applyAlignment="1">
      <alignment horizontal="left" vertical="top" wrapText="1"/>
    </xf>
    <xf numFmtId="165" fontId="331" fillId="5" borderId="3" xfId="9" applyNumberFormat="1" applyFont="1" applyFill="1" applyBorder="1" applyAlignment="1">
      <alignment horizontal="left" vertical="top" wrapText="1"/>
    </xf>
    <xf numFmtId="165" fontId="171" fillId="5" borderId="3" xfId="9" applyNumberFormat="1" applyFont="1" applyFill="1" applyBorder="1" applyAlignment="1">
      <alignment horizontal="left" vertical="top" wrapText="1"/>
    </xf>
    <xf numFmtId="165" fontId="351" fillId="5" borderId="3" xfId="9" applyNumberFormat="1" applyFont="1" applyFill="1" applyBorder="1" applyAlignment="1">
      <alignment horizontal="left" vertical="top" wrapText="1"/>
    </xf>
    <xf numFmtId="165" fontId="332" fillId="5" borderId="3" xfId="9" applyNumberFormat="1" applyFont="1" applyFill="1" applyBorder="1" applyAlignment="1">
      <alignment horizontal="left" vertical="top" wrapText="1"/>
    </xf>
    <xf numFmtId="165" fontId="228" fillId="5" borderId="3" xfId="9" applyNumberFormat="1" applyFont="1" applyFill="1" applyBorder="1" applyAlignment="1">
      <alignment horizontal="left" vertical="top" wrapText="1"/>
    </xf>
    <xf numFmtId="165" fontId="298" fillId="5" borderId="3" xfId="9" applyNumberFormat="1" applyFont="1" applyFill="1" applyBorder="1" applyAlignment="1">
      <alignment horizontal="left" vertical="top" wrapText="1"/>
    </xf>
    <xf numFmtId="165" fontId="380" fillId="5" borderId="3" xfId="9" applyNumberFormat="1" applyFont="1" applyFill="1" applyBorder="1" applyAlignment="1">
      <alignment horizontal="left" vertical="top" wrapText="1"/>
    </xf>
    <xf numFmtId="165" fontId="230" fillId="5" borderId="3" xfId="9" applyNumberFormat="1" applyFont="1" applyFill="1" applyBorder="1" applyAlignment="1">
      <alignment horizontal="left" vertical="top" wrapText="1"/>
    </xf>
    <xf numFmtId="165" fontId="299" fillId="5" borderId="3" xfId="9" applyNumberFormat="1" applyFont="1" applyFill="1" applyBorder="1" applyAlignment="1">
      <alignment horizontal="left" vertical="top" wrapText="1"/>
    </xf>
    <xf numFmtId="165" fontId="381" fillId="5" borderId="3" xfId="9" applyNumberFormat="1" applyFont="1" applyFill="1" applyBorder="1" applyAlignment="1">
      <alignment horizontal="left" vertical="top" wrapText="1"/>
    </xf>
    <xf numFmtId="165" fontId="172" fillId="5" borderId="3" xfId="9" applyNumberFormat="1" applyFont="1" applyFill="1" applyBorder="1" applyAlignment="1">
      <alignment horizontal="left" vertical="top" wrapText="1"/>
    </xf>
    <xf numFmtId="165" fontId="352" fillId="5" borderId="3" xfId="9" applyNumberFormat="1" applyFont="1" applyFill="1" applyBorder="1" applyAlignment="1">
      <alignment horizontal="left" vertical="top" wrapText="1"/>
    </xf>
    <xf numFmtId="165" fontId="333" fillId="5" borderId="3" xfId="9" applyNumberFormat="1" applyFont="1" applyFill="1" applyBorder="1" applyAlignment="1">
      <alignment horizontal="left" vertical="top" wrapText="1"/>
    </xf>
    <xf numFmtId="165" fontId="173" fillId="5" borderId="3" xfId="9" applyNumberFormat="1" applyFont="1" applyFill="1" applyBorder="1" applyAlignment="1">
      <alignment horizontal="left" vertical="top" wrapText="1"/>
    </xf>
    <xf numFmtId="165" fontId="353" fillId="5" borderId="3" xfId="9" applyNumberFormat="1" applyFont="1" applyFill="1" applyBorder="1" applyAlignment="1">
      <alignment horizontal="left" vertical="top" wrapText="1"/>
    </xf>
    <xf numFmtId="165" fontId="334" fillId="5" borderId="3" xfId="9" applyNumberFormat="1" applyFont="1" applyFill="1" applyBorder="1" applyAlignment="1">
      <alignment horizontal="left" vertical="top" wrapText="1"/>
    </xf>
    <xf numFmtId="165" fontId="174" fillId="5" borderId="3" xfId="9" applyNumberFormat="1" applyFont="1" applyFill="1" applyBorder="1" applyAlignment="1">
      <alignment horizontal="left" vertical="top" wrapText="1"/>
    </xf>
    <xf numFmtId="165" fontId="354" fillId="5" borderId="3" xfId="9" applyNumberFormat="1" applyFont="1" applyFill="1" applyBorder="1" applyAlignment="1">
      <alignment horizontal="left" vertical="top" wrapText="1"/>
    </xf>
    <xf numFmtId="165" fontId="335" fillId="5" borderId="3" xfId="9" applyNumberFormat="1" applyFont="1" applyFill="1" applyBorder="1" applyAlignment="1">
      <alignment horizontal="left" vertical="top" wrapText="1"/>
    </xf>
    <xf numFmtId="165" fontId="218" fillId="5" borderId="3" xfId="9" applyNumberFormat="1" applyFont="1" applyFill="1" applyBorder="1" applyAlignment="1">
      <alignment horizontal="left" vertical="top" wrapText="1"/>
    </xf>
    <xf numFmtId="165" fontId="288" fillId="5" borderId="3" xfId="9" applyNumberFormat="1" applyFont="1" applyFill="1" applyBorder="1" applyAlignment="1">
      <alignment horizontal="left" vertical="top" wrapText="1"/>
    </xf>
    <xf numFmtId="165" fontId="330" fillId="5" borderId="3" xfId="9" applyNumberFormat="1" applyFont="1" applyFill="1" applyBorder="1" applyAlignment="1">
      <alignment horizontal="left" vertical="top" wrapText="1"/>
    </xf>
    <xf numFmtId="165" fontId="175" fillId="5" borderId="3" xfId="9" applyNumberFormat="1" applyFont="1" applyFill="1" applyBorder="1" applyAlignment="1">
      <alignment horizontal="left" vertical="top" wrapText="1"/>
    </xf>
    <xf numFmtId="165" fontId="355" fillId="5" borderId="3" xfId="9" applyNumberFormat="1" applyFont="1" applyFill="1" applyBorder="1" applyAlignment="1">
      <alignment horizontal="left" vertical="top" wrapText="1"/>
    </xf>
    <xf numFmtId="165" fontId="336" fillId="5" borderId="3" xfId="9" applyNumberFormat="1" applyFont="1" applyFill="1" applyBorder="1" applyAlignment="1">
      <alignment horizontal="left" vertical="top" wrapText="1"/>
    </xf>
    <xf numFmtId="165" fontId="231" fillId="5" borderId="3" xfId="9" applyNumberFormat="1" applyFont="1" applyFill="1" applyBorder="1" applyAlignment="1">
      <alignment horizontal="left" vertical="top" wrapText="1"/>
    </xf>
    <xf numFmtId="165" fontId="300" fillId="5" borderId="3" xfId="9" applyNumberFormat="1" applyFont="1" applyFill="1" applyBorder="1" applyAlignment="1">
      <alignment horizontal="left" vertical="top" wrapText="1"/>
    </xf>
    <xf numFmtId="165" fontId="382" fillId="5" borderId="3" xfId="9" applyNumberFormat="1" applyFont="1" applyFill="1" applyBorder="1" applyAlignment="1">
      <alignment horizontal="left" vertical="top" wrapText="1"/>
    </xf>
    <xf numFmtId="165" fontId="176" fillId="5" borderId="3" xfId="9" applyNumberFormat="1" applyFont="1" applyFill="1" applyBorder="1" applyAlignment="1">
      <alignment horizontal="left" vertical="top" wrapText="1"/>
    </xf>
    <xf numFmtId="165" fontId="356" fillId="5" borderId="3" xfId="9" applyNumberFormat="1" applyFont="1" applyFill="1" applyBorder="1" applyAlignment="1">
      <alignment horizontal="left" vertical="top" wrapText="1"/>
    </xf>
    <xf numFmtId="165" fontId="337" fillId="5" borderId="3" xfId="9" applyNumberFormat="1" applyFont="1" applyFill="1" applyBorder="1" applyAlignment="1">
      <alignment horizontal="left" vertical="top" wrapText="1"/>
    </xf>
    <xf numFmtId="165" fontId="232" fillId="5" borderId="3" xfId="9" applyNumberFormat="1" applyFont="1" applyFill="1" applyBorder="1" applyAlignment="1">
      <alignment horizontal="left" vertical="top" wrapText="1"/>
    </xf>
    <xf numFmtId="165" fontId="301" fillId="5" borderId="3" xfId="9" applyNumberFormat="1" applyFont="1" applyFill="1" applyBorder="1" applyAlignment="1">
      <alignment horizontal="left" vertical="top" wrapText="1"/>
    </xf>
    <xf numFmtId="165" fontId="383" fillId="5" borderId="3" xfId="9" applyNumberFormat="1" applyFont="1" applyFill="1" applyBorder="1" applyAlignment="1">
      <alignment horizontal="left" vertical="top" wrapText="1"/>
    </xf>
    <xf numFmtId="165" fontId="233" fillId="5" borderId="3" xfId="9" applyNumberFormat="1" applyFont="1" applyFill="1" applyBorder="1" applyAlignment="1">
      <alignment horizontal="left" vertical="top" wrapText="1"/>
    </xf>
    <xf numFmtId="165" fontId="145" fillId="5" borderId="3" xfId="9" applyNumberFormat="1" applyFont="1" applyFill="1" applyBorder="1" applyAlignment="1">
      <alignment horizontal="left" vertical="top" wrapText="1"/>
    </xf>
    <xf numFmtId="165" fontId="384" fillId="5" borderId="3" xfId="9" applyNumberFormat="1" applyFont="1" applyFill="1" applyBorder="1" applyAlignment="1">
      <alignment horizontal="left" vertical="top" wrapText="1"/>
    </xf>
    <xf numFmtId="165" fontId="234" fillId="5" borderId="3" xfId="9" applyNumberFormat="1" applyFont="1" applyFill="1" applyBorder="1" applyAlignment="1">
      <alignment horizontal="left" vertical="top" wrapText="1"/>
    </xf>
    <xf numFmtId="165" fontId="146" fillId="5" borderId="3" xfId="9" applyNumberFormat="1" applyFont="1" applyFill="1" applyBorder="1" applyAlignment="1">
      <alignment horizontal="left" vertical="top" wrapText="1"/>
    </xf>
    <xf numFmtId="165" fontId="385" fillId="5" borderId="3" xfId="9" applyNumberFormat="1" applyFont="1" applyFill="1" applyBorder="1" applyAlignment="1">
      <alignment horizontal="left" vertical="top" wrapText="1"/>
    </xf>
    <xf numFmtId="165" fontId="177" fillId="5" borderId="3" xfId="9" applyNumberFormat="1" applyFont="1" applyFill="1" applyBorder="1" applyAlignment="1">
      <alignment horizontal="left" vertical="top" wrapText="1"/>
    </xf>
    <xf numFmtId="165" fontId="357" fillId="5" borderId="3" xfId="9" applyNumberFormat="1" applyFont="1" applyFill="1" applyBorder="1" applyAlignment="1">
      <alignment horizontal="left" vertical="top" wrapText="1"/>
    </xf>
    <xf numFmtId="165" fontId="338" fillId="5" borderId="3" xfId="9" applyNumberFormat="1" applyFont="1" applyFill="1" applyBorder="1" applyAlignment="1">
      <alignment horizontal="left" vertical="top" wrapText="1"/>
    </xf>
    <xf numFmtId="165" fontId="370" fillId="5" borderId="3" xfId="9" applyNumberFormat="1" applyFont="1" applyFill="1" applyBorder="1" applyAlignment="1">
      <alignment horizontal="left" vertical="top" wrapText="1"/>
    </xf>
    <xf numFmtId="165" fontId="279" fillId="5" borderId="3" xfId="9" applyNumberFormat="1" applyFont="1" applyFill="1" applyBorder="1" applyAlignment="1">
      <alignment horizontal="left" vertical="top" wrapText="1"/>
    </xf>
    <xf numFmtId="165" fontId="425" fillId="5" borderId="3" xfId="9" applyNumberFormat="1" applyFont="1" applyFill="1" applyBorder="1" applyAlignment="1">
      <alignment horizontal="left" vertical="top" wrapText="1"/>
    </xf>
    <xf numFmtId="165" fontId="235" fillId="5" borderId="3" xfId="9" applyNumberFormat="1" applyFont="1" applyFill="1" applyBorder="1" applyAlignment="1">
      <alignment horizontal="left" vertical="top" wrapText="1"/>
    </xf>
    <xf numFmtId="165" fontId="147" fillId="5" borderId="3" xfId="9" applyNumberFormat="1" applyFont="1" applyFill="1" applyBorder="1" applyAlignment="1">
      <alignment horizontal="left" vertical="top" wrapText="1"/>
    </xf>
    <xf numFmtId="165" fontId="386" fillId="5" borderId="3" xfId="9" applyNumberFormat="1" applyFont="1" applyFill="1" applyBorder="1" applyAlignment="1">
      <alignment horizontal="left" vertical="top" wrapText="1"/>
    </xf>
    <xf numFmtId="165" fontId="209" fillId="5" borderId="3" xfId="9" applyNumberFormat="1" applyFont="1" applyFill="1" applyBorder="1" applyAlignment="1">
      <alignment horizontal="left" vertical="top" wrapText="1"/>
    </xf>
    <xf numFmtId="165" fontId="148" fillId="5" borderId="3" xfId="9" applyNumberFormat="1" applyFont="1" applyFill="1" applyBorder="1" applyAlignment="1">
      <alignment horizontal="left" vertical="top" wrapText="1"/>
    </xf>
    <xf numFmtId="165" fontId="387" fillId="5" borderId="3" xfId="9" applyNumberFormat="1" applyFont="1" applyFill="1" applyBorder="1" applyAlignment="1">
      <alignment horizontal="left" vertical="top" wrapText="1"/>
    </xf>
    <xf numFmtId="165" fontId="211" fillId="5" borderId="3" xfId="9" applyNumberFormat="1" applyFont="1" applyFill="1" applyBorder="1" applyAlignment="1">
      <alignment horizontal="left" vertical="top" wrapText="1"/>
    </xf>
    <xf numFmtId="165" fontId="149" fillId="5" borderId="3" xfId="9" applyNumberFormat="1" applyFont="1" applyFill="1" applyBorder="1" applyAlignment="1">
      <alignment horizontal="left" vertical="top" wrapText="1"/>
    </xf>
    <xf numFmtId="165" fontId="388" fillId="5" borderId="3" xfId="9" applyNumberFormat="1" applyFont="1" applyFill="1" applyBorder="1" applyAlignment="1">
      <alignment horizontal="left" vertical="top" wrapText="1"/>
    </xf>
    <xf numFmtId="165" fontId="191" fillId="5" borderId="3" xfId="9" applyNumberFormat="1" applyFont="1" applyFill="1" applyBorder="1" applyAlignment="1">
      <alignment horizontal="left" vertical="top" wrapText="1"/>
    </xf>
    <xf numFmtId="165" fontId="193" fillId="5" borderId="3" xfId="9" applyNumberFormat="1" applyFont="1" applyFill="1" applyBorder="1" applyAlignment="1">
      <alignment horizontal="left" vertical="top" wrapText="1"/>
    </xf>
    <xf numFmtId="165" fontId="339" fillId="5" borderId="3" xfId="9" applyNumberFormat="1" applyFont="1" applyFill="1" applyBorder="1" applyAlignment="1">
      <alignment horizontal="left" vertical="top" wrapText="1"/>
    </xf>
    <xf numFmtId="165" fontId="212" fillId="5" borderId="3" xfId="9" applyNumberFormat="1" applyFont="1" applyFill="1" applyBorder="1" applyAlignment="1">
      <alignment horizontal="left" vertical="top" wrapText="1"/>
    </xf>
    <xf numFmtId="165" fontId="178" fillId="5" borderId="3" xfId="9" applyNumberFormat="1" applyFont="1" applyFill="1" applyBorder="1" applyAlignment="1">
      <alignment horizontal="left" vertical="top" wrapText="1"/>
    </xf>
    <xf numFmtId="165" fontId="497" fillId="5" borderId="3" xfId="9" applyNumberFormat="1" applyFont="1" applyFill="1" applyBorder="1" applyAlignment="1">
      <alignment horizontal="left" vertical="top" wrapText="1"/>
    </xf>
    <xf numFmtId="165" fontId="229" fillId="5" borderId="3" xfId="9" applyNumberFormat="1" applyFont="1" applyFill="1" applyBorder="1" applyAlignment="1">
      <alignment horizontal="left" vertical="top" wrapText="1"/>
    </xf>
    <xf numFmtId="165" fontId="179" fillId="5" borderId="3" xfId="9" applyNumberFormat="1" applyFont="1" applyFill="1" applyBorder="1" applyAlignment="1">
      <alignment horizontal="left" vertical="top" wrapText="1"/>
    </xf>
    <xf numFmtId="165" fontId="389" fillId="5" borderId="3" xfId="9" applyNumberFormat="1" applyFont="1" applyFill="1" applyBorder="1" applyAlignment="1">
      <alignment horizontal="left" vertical="top" wrapText="1"/>
    </xf>
    <xf numFmtId="165" fontId="166" fillId="5" borderId="3" xfId="9" applyNumberFormat="1" applyFont="1" applyFill="1" applyBorder="1" applyAlignment="1">
      <alignment horizontal="left" vertical="top" wrapText="1"/>
    </xf>
    <xf numFmtId="165" fontId="180" fillId="5" borderId="3" xfId="9" applyNumberFormat="1" applyFont="1" applyFill="1" applyBorder="1" applyAlignment="1">
      <alignment horizontal="left" vertical="top" wrapText="1"/>
    </xf>
    <xf numFmtId="165" fontId="390" fillId="5" borderId="3" xfId="9" applyNumberFormat="1" applyFont="1" applyFill="1" applyBorder="1" applyAlignment="1">
      <alignment horizontal="left" vertical="top" wrapText="1"/>
    </xf>
    <xf numFmtId="165" fontId="167" fillId="5" borderId="3" xfId="9" applyNumberFormat="1" applyFont="1" applyFill="1" applyBorder="1" applyAlignment="1">
      <alignment horizontal="left" vertical="top" wrapText="1"/>
    </xf>
    <xf numFmtId="165" fontId="181" fillId="5" borderId="3" xfId="9" applyNumberFormat="1" applyFont="1" applyFill="1" applyBorder="1" applyAlignment="1">
      <alignment horizontal="left" vertical="top" wrapText="1"/>
    </xf>
    <xf numFmtId="165" fontId="391" fillId="5" borderId="3" xfId="9" applyNumberFormat="1" applyFont="1" applyFill="1" applyBorder="1" applyAlignment="1">
      <alignment horizontal="left" vertical="top" wrapText="1"/>
    </xf>
    <xf numFmtId="165" fontId="168" fillId="5" borderId="3" xfId="9" applyNumberFormat="1" applyFont="1" applyFill="1" applyBorder="1" applyAlignment="1">
      <alignment horizontal="left" vertical="top" wrapText="1"/>
    </xf>
    <xf numFmtId="165" fontId="182" fillId="5" borderId="3" xfId="9" applyNumberFormat="1" applyFont="1" applyFill="1" applyBorder="1" applyAlignment="1">
      <alignment horizontal="left" vertical="top" wrapText="1"/>
    </xf>
    <xf numFmtId="165" fontId="392" fillId="5" borderId="3" xfId="9" applyNumberFormat="1" applyFont="1" applyFill="1" applyBorder="1" applyAlignment="1">
      <alignment horizontal="left" vertical="top" wrapText="1"/>
    </xf>
    <xf numFmtId="165" fontId="169" fillId="5" borderId="3" xfId="9" applyNumberFormat="1" applyFont="1" applyFill="1" applyBorder="1" applyAlignment="1">
      <alignment horizontal="left" vertical="top" wrapText="1"/>
    </xf>
    <xf numFmtId="165" fontId="183" fillId="5" borderId="3" xfId="9" applyNumberFormat="1" applyFont="1" applyFill="1" applyBorder="1" applyAlignment="1">
      <alignment horizontal="left" vertical="top" wrapText="1"/>
    </xf>
    <xf numFmtId="165" fontId="238" fillId="5" borderId="3" xfId="9" applyNumberFormat="1" applyFont="1" applyFill="1" applyBorder="1" applyAlignment="1">
      <alignment horizontal="left" vertical="top" wrapText="1"/>
    </xf>
    <xf numFmtId="165" fontId="170" fillId="5" borderId="3" xfId="9" applyNumberFormat="1" applyFont="1" applyFill="1" applyBorder="1" applyAlignment="1">
      <alignment horizontal="left" vertical="top" wrapText="1"/>
    </xf>
    <xf numFmtId="165" fontId="184" fillId="5" borderId="3" xfId="9" applyNumberFormat="1" applyFont="1" applyFill="1" applyBorder="1" applyAlignment="1">
      <alignment horizontal="left" vertical="top" wrapText="1"/>
    </xf>
    <xf numFmtId="165" fontId="239" fillId="5" borderId="3" xfId="9" applyNumberFormat="1" applyFont="1" applyFill="1" applyBorder="1" applyAlignment="1">
      <alignment horizontal="left" vertical="top" wrapText="1"/>
    </xf>
    <xf numFmtId="165" fontId="358" fillId="5" borderId="3" xfId="9" applyNumberFormat="1" applyFont="1" applyFill="1" applyBorder="1" applyAlignment="1">
      <alignment horizontal="left" vertical="top" wrapText="1"/>
    </xf>
    <xf numFmtId="165" fontId="185" fillId="5" borderId="3" xfId="9" applyNumberFormat="1" applyFont="1" applyFill="1" applyBorder="1" applyAlignment="1">
      <alignment horizontal="left" vertical="top" wrapText="1"/>
    </xf>
    <xf numFmtId="165" fontId="412" fillId="5" borderId="3" xfId="9" applyNumberFormat="1" applyFont="1" applyFill="1" applyBorder="1" applyAlignment="1">
      <alignment horizontal="left" vertical="top" wrapText="1"/>
    </xf>
    <xf numFmtId="165" fontId="359" fillId="5" borderId="3" xfId="9" applyNumberFormat="1" applyFont="1" applyFill="1" applyBorder="1" applyAlignment="1">
      <alignment horizontal="left" vertical="top" wrapText="1"/>
    </xf>
    <xf numFmtId="165" fontId="186" fillId="5" borderId="3" xfId="9" applyNumberFormat="1" applyFont="1" applyFill="1" applyBorder="1" applyAlignment="1">
      <alignment horizontal="left" vertical="top" wrapText="1"/>
    </xf>
    <xf numFmtId="165" fontId="413" fillId="5" borderId="3" xfId="9" applyNumberFormat="1" applyFont="1" applyFill="1" applyBorder="1" applyAlignment="1">
      <alignment horizontal="left" vertical="top" wrapText="1"/>
    </xf>
    <xf numFmtId="165" fontId="192" fillId="5" borderId="3" xfId="9" applyNumberFormat="1" applyFont="1" applyFill="1" applyBorder="1" applyAlignment="1">
      <alignment horizontal="left" vertical="top" wrapText="1"/>
    </xf>
    <xf numFmtId="165" fontId="194" fillId="5" borderId="3" xfId="9" applyNumberFormat="1" applyFont="1" applyFill="1" applyBorder="1" applyAlignment="1">
      <alignment horizontal="left" vertical="top" wrapText="1"/>
    </xf>
    <xf numFmtId="165" fontId="340" fillId="5" borderId="3" xfId="9" applyNumberFormat="1" applyFont="1" applyFill="1" applyBorder="1" applyAlignment="1">
      <alignment horizontal="left" vertical="top" wrapText="1"/>
    </xf>
    <xf numFmtId="165" fontId="360" fillId="5" borderId="3" xfId="9" applyNumberFormat="1" applyFont="1" applyFill="1" applyBorder="1" applyAlignment="1">
      <alignment horizontal="left" vertical="top" wrapText="1"/>
    </xf>
    <xf numFmtId="165" fontId="187" fillId="5" borderId="3" xfId="9" applyNumberFormat="1" applyFont="1" applyFill="1" applyBorder="1" applyAlignment="1">
      <alignment horizontal="left" vertical="top" wrapText="1"/>
    </xf>
    <xf numFmtId="165" fontId="414" fillId="5" borderId="3" xfId="9" applyNumberFormat="1" applyFont="1" applyFill="1" applyBorder="1" applyAlignment="1">
      <alignment horizontal="left" vertical="top" wrapText="1"/>
    </xf>
    <xf numFmtId="165" fontId="361" fillId="5" borderId="3" xfId="9" applyNumberFormat="1" applyFont="1" applyFill="1" applyBorder="1" applyAlignment="1">
      <alignment horizontal="left" vertical="top" wrapText="1"/>
    </xf>
    <xf numFmtId="165" fontId="188" fillId="5" borderId="3" xfId="9" applyNumberFormat="1" applyFont="1" applyFill="1" applyBorder="1" applyAlignment="1">
      <alignment horizontal="left" vertical="top" wrapText="1"/>
    </xf>
    <xf numFmtId="165" fontId="415" fillId="5" borderId="3" xfId="9" applyNumberFormat="1" applyFont="1" applyFill="1" applyBorder="1" applyAlignment="1">
      <alignment horizontal="left" vertical="top" wrapText="1"/>
    </xf>
    <xf numFmtId="165" fontId="438" fillId="5" borderId="3" xfId="9" applyNumberFormat="1" applyFont="1" applyFill="1" applyBorder="1" applyAlignment="1">
      <alignment horizontal="left" vertical="top" wrapText="1"/>
    </xf>
    <xf numFmtId="165" fontId="189" fillId="5" borderId="3" xfId="9" applyNumberFormat="1" applyFont="1" applyFill="1" applyBorder="1" applyAlignment="1">
      <alignment horizontal="left" vertical="top" wrapText="1"/>
    </xf>
    <xf numFmtId="165" fontId="416" fillId="5" borderId="3" xfId="9" applyNumberFormat="1" applyFont="1" applyFill="1" applyBorder="1" applyAlignment="1">
      <alignment horizontal="left" vertical="top" wrapText="1"/>
    </xf>
    <xf numFmtId="165" fontId="362" fillId="5" borderId="3" xfId="9" applyNumberFormat="1" applyFont="1" applyFill="1" applyBorder="1" applyAlignment="1">
      <alignment horizontal="left" vertical="top" wrapText="1"/>
    </xf>
    <xf numFmtId="165" fontId="190" fillId="5" borderId="3" xfId="9" applyNumberFormat="1" applyFont="1" applyFill="1" applyBorder="1" applyAlignment="1">
      <alignment horizontal="left" vertical="top" wrapText="1"/>
    </xf>
    <xf numFmtId="165" fontId="444" fillId="5" borderId="3" xfId="9" applyNumberFormat="1" applyFont="1" applyFill="1" applyBorder="1" applyAlignment="1">
      <alignment horizontal="left" vertical="top" wrapText="1"/>
    </xf>
    <xf numFmtId="165" fontId="363" fillId="5" borderId="3" xfId="9" applyNumberFormat="1" applyFont="1" applyFill="1" applyBorder="1" applyAlignment="1">
      <alignment horizontal="left" vertical="top" wrapText="1"/>
    </xf>
    <xf numFmtId="165" fontId="206" fillId="5" borderId="3" xfId="9" applyNumberFormat="1" applyFont="1" applyFill="1" applyBorder="1" applyAlignment="1">
      <alignment horizontal="left" vertical="top" wrapText="1"/>
    </xf>
    <xf numFmtId="165" fontId="445" fillId="5" borderId="3" xfId="9" applyNumberFormat="1" applyFont="1" applyFill="1" applyBorder="1" applyAlignment="1">
      <alignment horizontal="left" vertical="top" wrapText="1"/>
    </xf>
    <xf numFmtId="165" fontId="364" fillId="5" borderId="3" xfId="9" applyNumberFormat="1" applyFont="1" applyFill="1" applyBorder="1" applyAlignment="1">
      <alignment horizontal="left" vertical="top" wrapText="1"/>
    </xf>
    <xf numFmtId="165" fontId="207" fillId="5" borderId="3" xfId="9" applyNumberFormat="1" applyFont="1" applyFill="1" applyBorder="1" applyAlignment="1">
      <alignment horizontal="left" vertical="top" wrapText="1"/>
    </xf>
    <xf numFmtId="165" fontId="446" fillId="5" borderId="3" xfId="9" applyNumberFormat="1" applyFont="1" applyFill="1" applyBorder="1" applyAlignment="1">
      <alignment horizontal="left" vertical="top" wrapText="1"/>
    </xf>
    <xf numFmtId="165" fontId="50" fillId="5" borderId="3" xfId="9" applyNumberFormat="1" applyFont="1" applyFill="1" applyBorder="1" applyAlignment="1">
      <alignment horizontal="left" vertical="top" wrapText="1"/>
    </xf>
    <xf numFmtId="165" fontId="195" fillId="5" borderId="3" xfId="9" applyNumberFormat="1" applyFont="1" applyFill="1" applyBorder="1" applyAlignment="1">
      <alignment horizontal="left" vertical="top" wrapText="1"/>
    </xf>
    <xf numFmtId="165" fontId="341" fillId="5" borderId="3" xfId="9" applyNumberFormat="1" applyFont="1" applyFill="1" applyBorder="1" applyAlignment="1">
      <alignment horizontal="left" vertical="top" wrapText="1"/>
    </xf>
    <xf numFmtId="165" fontId="324" fillId="5" borderId="3" xfId="9" applyNumberFormat="1" applyFont="1" applyFill="1" applyBorder="1" applyAlignment="1">
      <alignment horizontal="left" vertical="top" wrapText="1"/>
    </xf>
    <xf numFmtId="165" fontId="486" fillId="5" borderId="3" xfId="9" applyNumberFormat="1" applyFont="1" applyFill="1" applyBorder="1" applyAlignment="1">
      <alignment horizontal="left" vertical="top" wrapText="1"/>
    </xf>
    <xf numFmtId="165" fontId="162" fillId="5" borderId="3" xfId="9" applyNumberFormat="1" applyFont="1" applyFill="1" applyBorder="1" applyAlignment="1">
      <alignment horizontal="left" vertical="top" wrapText="1"/>
    </xf>
    <xf numFmtId="165" fontId="516" fillId="5" borderId="3" xfId="9" applyNumberFormat="1" applyFont="1" applyFill="1" applyBorder="1" applyAlignment="1">
      <alignment horizontal="left" vertical="top" wrapText="1"/>
    </xf>
    <xf numFmtId="165" fontId="487" fillId="5" borderId="3" xfId="9" applyNumberFormat="1" applyFont="1" applyFill="1" applyBorder="1" applyAlignment="1">
      <alignment horizontal="left" vertical="top" wrapText="1"/>
    </xf>
    <xf numFmtId="165" fontId="163" fillId="5" borderId="3" xfId="9" applyNumberFormat="1" applyFont="1" applyFill="1" applyBorder="1" applyAlignment="1">
      <alignment horizontal="left" vertical="top" wrapText="1"/>
    </xf>
    <xf numFmtId="165" fontId="159" fillId="5" borderId="3" xfId="9" applyNumberFormat="1" applyFont="1" applyFill="1" applyBorder="1" applyAlignment="1">
      <alignment horizontal="left" vertical="top" wrapText="1"/>
    </xf>
    <xf numFmtId="165" fontId="511" fillId="5" borderId="3" xfId="9" applyNumberFormat="1" applyFont="1" applyFill="1" applyBorder="1" applyAlignment="1">
      <alignment horizontal="left" vertical="top" wrapText="1"/>
    </xf>
    <xf numFmtId="165" fontId="155" fillId="5" borderId="3" xfId="9" applyNumberFormat="1" applyFont="1" applyFill="1" applyBorder="1" applyAlignment="1">
      <alignment horizontal="left" vertical="top" wrapText="1"/>
    </xf>
    <xf numFmtId="165" fontId="517" fillId="5" borderId="3" xfId="9" applyNumberFormat="1" applyFont="1" applyFill="1" applyBorder="1" applyAlignment="1">
      <alignment horizontal="left" vertical="top" wrapText="1"/>
    </xf>
    <xf numFmtId="165" fontId="512" fillId="5" borderId="3" xfId="9" applyNumberFormat="1" applyFont="1" applyFill="1" applyBorder="1" applyAlignment="1">
      <alignment horizontal="left" vertical="top" wrapText="1"/>
    </xf>
    <xf numFmtId="165" fontId="157" fillId="5" borderId="3" xfId="9" applyNumberFormat="1" applyFont="1" applyFill="1" applyBorder="1" applyAlignment="1">
      <alignment horizontal="left" vertical="top" wrapText="1"/>
    </xf>
    <xf numFmtId="165" fontId="518" fillId="5" borderId="3" xfId="9" applyNumberFormat="1" applyFont="1" applyFill="1" applyBorder="1" applyAlignment="1">
      <alignment horizontal="left" vertical="top" wrapText="1"/>
    </xf>
    <xf numFmtId="165" fontId="160" fillId="5" borderId="3" xfId="9" applyNumberFormat="1" applyFont="1" applyFill="1" applyBorder="1" applyAlignment="1">
      <alignment horizontal="left" vertical="top" wrapText="1"/>
    </xf>
    <xf numFmtId="165" fontId="151" fillId="5" borderId="3" xfId="9" applyNumberFormat="1" applyFont="1" applyFill="1" applyBorder="1" applyAlignment="1">
      <alignment horizontal="left" vertical="top" wrapText="1"/>
    </xf>
    <xf numFmtId="165" fontId="150" fillId="5" borderId="3" xfId="9" applyNumberFormat="1" applyFont="1" applyFill="1" applyBorder="1" applyAlignment="1">
      <alignment horizontal="left" vertical="top" wrapText="1"/>
    </xf>
    <xf numFmtId="165" fontId="161" fillId="5" borderId="3" xfId="9" applyNumberFormat="1" applyFont="1" applyFill="1" applyBorder="1" applyAlignment="1">
      <alignment horizontal="left" vertical="top" wrapText="1"/>
    </xf>
    <xf numFmtId="165" fontId="156" fillId="5" borderId="3" xfId="9" applyNumberFormat="1" applyFont="1" applyFill="1" applyBorder="1" applyAlignment="1">
      <alignment horizontal="left" vertical="top" wrapText="1"/>
    </xf>
    <xf numFmtId="165" fontId="365" fillId="5" borderId="3" xfId="9" applyNumberFormat="1" applyFont="1" applyFill="1" applyBorder="1" applyAlignment="1">
      <alignment horizontal="left" vertical="top" wrapText="1"/>
    </xf>
    <xf numFmtId="165" fontId="208" fillId="5" borderId="3" xfId="9" applyNumberFormat="1" applyFont="1" applyFill="1" applyBorder="1" applyAlignment="1">
      <alignment horizontal="left" vertical="top" wrapText="1"/>
    </xf>
    <xf numFmtId="165" fontId="240" fillId="5" borderId="3" xfId="9" applyNumberFormat="1" applyFont="1" applyFill="1" applyBorder="1" applyAlignment="1">
      <alignment horizontal="left" vertical="top" wrapText="1"/>
    </xf>
    <xf numFmtId="165" fontId="51" fillId="5" borderId="3" xfId="9" applyNumberFormat="1" applyFont="1" applyFill="1" applyBorder="1" applyAlignment="1">
      <alignment horizontal="left" vertical="top" wrapText="1"/>
    </xf>
    <xf numFmtId="165" fontId="196" fillId="5" borderId="3" xfId="9" applyNumberFormat="1" applyFont="1" applyFill="1" applyBorder="1" applyAlignment="1">
      <alignment horizontal="left" vertical="top" wrapText="1"/>
    </xf>
    <xf numFmtId="165" fontId="342" fillId="5" borderId="3" xfId="9" applyNumberFormat="1" applyFont="1" applyFill="1" applyBorder="1" applyAlignment="1">
      <alignment horizontal="left" vertical="top" wrapText="1"/>
    </xf>
    <xf numFmtId="165" fontId="366" fillId="5" borderId="3" xfId="9" applyNumberFormat="1" applyFont="1" applyFill="1" applyBorder="1" applyAlignment="1">
      <alignment horizontal="left" vertical="top" wrapText="1"/>
    </xf>
    <xf numFmtId="165" fontId="275" fillId="5" borderId="3" xfId="9" applyNumberFormat="1" applyFont="1" applyFill="1" applyBorder="1" applyAlignment="1">
      <alignment horizontal="left" vertical="top" wrapText="1"/>
    </xf>
    <xf numFmtId="165" fontId="241" fillId="5" borderId="3" xfId="9" applyNumberFormat="1" applyFont="1" applyFill="1" applyBorder="1" applyAlignment="1">
      <alignment horizontal="left" vertical="top" wrapText="1"/>
    </xf>
    <xf numFmtId="165" fontId="367" fillId="5" borderId="3" xfId="9" applyNumberFormat="1" applyFont="1" applyFill="1" applyBorder="1" applyAlignment="1">
      <alignment horizontal="left" vertical="top" wrapText="1"/>
    </xf>
    <xf numFmtId="165" fontId="276" fillId="5" borderId="3" xfId="9" applyNumberFormat="1" applyFont="1" applyFill="1" applyBorder="1" applyAlignment="1">
      <alignment horizontal="left" vertical="top" wrapText="1"/>
    </xf>
    <xf numFmtId="165" fontId="470" fillId="5" borderId="3" xfId="9" applyNumberFormat="1" applyFont="1" applyFill="1" applyBorder="1" applyAlignment="1">
      <alignment horizontal="left" vertical="top" wrapText="1"/>
    </xf>
    <xf numFmtId="165" fontId="52" fillId="5" borderId="3" xfId="9" applyNumberFormat="1" applyFont="1" applyFill="1" applyBorder="1" applyAlignment="1">
      <alignment horizontal="left" vertical="top" wrapText="1"/>
    </xf>
    <xf numFmtId="165" fontId="197" fillId="5" borderId="3" xfId="9" applyNumberFormat="1" applyFont="1" applyFill="1" applyBorder="1" applyAlignment="1">
      <alignment horizontal="left" vertical="top" wrapText="1"/>
    </xf>
    <xf numFmtId="165" fontId="343" fillId="5" borderId="3" xfId="9" applyNumberFormat="1" applyFont="1" applyFill="1" applyBorder="1" applyAlignment="1">
      <alignment horizontal="left" vertical="top" wrapText="1"/>
    </xf>
    <xf numFmtId="165" fontId="53" fillId="5" borderId="3" xfId="9" applyNumberFormat="1" applyFont="1" applyFill="1" applyBorder="1" applyAlignment="1">
      <alignment horizontal="left" vertical="top" wrapText="1"/>
    </xf>
    <xf numFmtId="165" fontId="198" fillId="5" borderId="3" xfId="9" applyNumberFormat="1" applyFont="1" applyFill="1" applyBorder="1" applyAlignment="1">
      <alignment horizontal="left" vertical="top" wrapText="1"/>
    </xf>
    <xf numFmtId="165" fontId="344" fillId="5" borderId="3" xfId="9" applyNumberFormat="1" applyFont="1" applyFill="1" applyBorder="1" applyAlignment="1">
      <alignment horizontal="left" vertical="top" wrapText="1"/>
    </xf>
    <xf numFmtId="165" fontId="55" fillId="5" borderId="3" xfId="9" applyNumberFormat="1" applyFont="1" applyFill="1" applyBorder="1" applyAlignment="1">
      <alignment horizontal="left" vertical="top" wrapText="1"/>
    </xf>
    <xf numFmtId="165" fontId="199" fillId="5" borderId="3" xfId="9" applyNumberFormat="1" applyFont="1" applyFill="1" applyBorder="1" applyAlignment="1">
      <alignment horizontal="left" vertical="top" wrapText="1"/>
    </xf>
    <xf numFmtId="165" fontId="345" fillId="5" borderId="3" xfId="9" applyNumberFormat="1" applyFont="1" applyFill="1" applyBorder="1" applyAlignment="1">
      <alignment horizontal="left" vertical="top" wrapText="1"/>
    </xf>
    <xf numFmtId="165" fontId="56" fillId="5" borderId="3" xfId="9" applyNumberFormat="1" applyFont="1" applyFill="1" applyBorder="1" applyAlignment="1">
      <alignment horizontal="left" vertical="top" wrapText="1"/>
    </xf>
    <xf numFmtId="165" fontId="200" fillId="5" borderId="3" xfId="9" applyNumberFormat="1" applyFont="1" applyFill="1" applyBorder="1" applyAlignment="1">
      <alignment horizontal="left" vertical="top" wrapText="1"/>
    </xf>
    <xf numFmtId="165" fontId="346" fillId="5" borderId="3" xfId="9" applyNumberFormat="1" applyFont="1" applyFill="1" applyBorder="1" applyAlignment="1">
      <alignment horizontal="left" vertical="top" wrapText="1"/>
    </xf>
    <xf numFmtId="165" fontId="57" fillId="5" borderId="3" xfId="9" applyNumberFormat="1" applyFont="1" applyFill="1" applyBorder="1" applyAlignment="1">
      <alignment horizontal="left" vertical="top" wrapText="1"/>
    </xf>
    <xf numFmtId="165" fontId="201" fillId="5" borderId="3" xfId="9" applyNumberFormat="1" applyFont="1" applyFill="1" applyBorder="1" applyAlignment="1">
      <alignment horizontal="left" vertical="top" wrapText="1"/>
    </xf>
    <xf numFmtId="165" fontId="347" fillId="5" borderId="3" xfId="9" applyNumberFormat="1" applyFont="1" applyFill="1" applyBorder="1" applyAlignment="1">
      <alignment horizontal="left" vertical="top" wrapText="1"/>
    </xf>
    <xf numFmtId="165" fontId="54" fillId="5" borderId="3" xfId="9" applyNumberFormat="1" applyFont="1" applyFill="1" applyBorder="1" applyAlignment="1">
      <alignment horizontal="left" vertical="top" wrapText="1"/>
    </xf>
    <xf numFmtId="165" fontId="306" fillId="5" borderId="3" xfId="9" applyNumberFormat="1" applyFont="1" applyFill="1" applyBorder="1" applyAlignment="1">
      <alignment horizontal="left" vertical="top" wrapText="1"/>
    </xf>
    <xf numFmtId="165" fontId="471" fillId="5" borderId="3" xfId="9" applyNumberFormat="1" applyFont="1" applyFill="1" applyBorder="1" applyAlignment="1">
      <alignment horizontal="left" vertical="top" wrapText="1"/>
    </xf>
    <xf numFmtId="165" fontId="58" fillId="5" borderId="3" xfId="9" applyNumberFormat="1" applyFont="1" applyFill="1" applyBorder="1" applyAlignment="1">
      <alignment horizontal="left" vertical="top" wrapText="1"/>
    </xf>
    <xf numFmtId="165" fontId="202" fillId="5" borderId="3" xfId="9" applyNumberFormat="1" applyFont="1" applyFill="1" applyBorder="1" applyAlignment="1">
      <alignment horizontal="left" vertical="top" wrapText="1"/>
    </xf>
    <xf numFmtId="165" fontId="348" fillId="5" borderId="3" xfId="9" applyNumberFormat="1" applyFont="1" applyFill="1" applyBorder="1" applyAlignment="1">
      <alignment horizontal="left" vertical="top" wrapText="1"/>
    </xf>
    <xf numFmtId="165" fontId="59" fillId="5" borderId="3" xfId="9" applyNumberFormat="1" applyFont="1" applyFill="1" applyBorder="1" applyAlignment="1">
      <alignment horizontal="left" vertical="top" wrapText="1"/>
    </xf>
    <xf numFmtId="165" fontId="203" fillId="5" borderId="3" xfId="9" applyNumberFormat="1" applyFont="1" applyFill="1" applyBorder="1" applyAlignment="1">
      <alignment horizontal="left" vertical="top" wrapText="1"/>
    </xf>
    <xf numFmtId="165" fontId="349" fillId="5" borderId="3" xfId="9" applyNumberFormat="1" applyFont="1" applyFill="1" applyBorder="1" applyAlignment="1">
      <alignment horizontal="left" vertical="top" wrapText="1"/>
    </xf>
    <xf numFmtId="165" fontId="60" fillId="5" borderId="3" xfId="9" applyNumberFormat="1" applyFont="1" applyFill="1" applyBorder="1" applyAlignment="1">
      <alignment horizontal="left" vertical="top" wrapText="1"/>
    </xf>
    <xf numFmtId="165" fontId="204" fillId="5" borderId="3" xfId="9" applyNumberFormat="1" applyFont="1" applyFill="1" applyBorder="1" applyAlignment="1">
      <alignment horizontal="left" vertical="top" wrapText="1"/>
    </xf>
    <xf numFmtId="165" fontId="95" fillId="5" borderId="3" xfId="9" applyNumberFormat="1" applyFont="1" applyFill="1" applyBorder="1" applyAlignment="1">
      <alignment horizontal="left" vertical="top" wrapText="1"/>
    </xf>
    <xf numFmtId="165" fontId="368" fillId="5" borderId="3" xfId="9" applyNumberFormat="1" applyFont="1" applyFill="1" applyBorder="1" applyAlignment="1">
      <alignment horizontal="left" vertical="top" wrapText="1"/>
    </xf>
    <xf numFmtId="165" fontId="277" fillId="5" borderId="3" xfId="9" applyNumberFormat="1" applyFont="1" applyFill="1" applyBorder="1" applyAlignment="1">
      <alignment horizontal="left" vertical="top" wrapText="1"/>
    </xf>
    <xf numFmtId="165" fontId="472" fillId="5" borderId="3" xfId="9" applyNumberFormat="1" applyFont="1" applyFill="1" applyBorder="1" applyAlignment="1">
      <alignment horizontal="left" vertical="top" wrapText="1"/>
    </xf>
    <xf numFmtId="165" fontId="61" fillId="5" borderId="3" xfId="9" applyNumberFormat="1" applyFont="1" applyFill="1" applyBorder="1" applyAlignment="1">
      <alignment horizontal="left" vertical="top" wrapText="1"/>
    </xf>
    <xf numFmtId="165" fontId="205" fillId="5" borderId="3" xfId="9" applyNumberFormat="1" applyFont="1" applyFill="1" applyBorder="1" applyAlignment="1">
      <alignment horizontal="left" vertical="top" wrapText="1"/>
    </xf>
    <xf numFmtId="165" fontId="96" fillId="5" borderId="3" xfId="9" applyNumberFormat="1" applyFont="1" applyFill="1" applyBorder="1" applyAlignment="1">
      <alignment horizontal="left" vertical="top" wrapText="1"/>
    </xf>
    <xf numFmtId="165" fontId="369" fillId="5" borderId="3" xfId="9" applyNumberFormat="1" applyFont="1" applyFill="1" applyBorder="1" applyAlignment="1">
      <alignment horizontal="left" vertical="top" wrapText="1"/>
    </xf>
    <xf numFmtId="165" fontId="278" fillId="5" borderId="3" xfId="9" applyNumberFormat="1" applyFont="1" applyFill="1" applyBorder="1" applyAlignment="1">
      <alignment horizontal="left" vertical="top" wrapText="1"/>
    </xf>
    <xf numFmtId="165" fontId="424" fillId="5" borderId="3" xfId="9" applyNumberFormat="1" applyFont="1" applyFill="1" applyBorder="1" applyAlignment="1">
      <alignment horizontal="left" vertical="top" wrapText="1"/>
    </xf>
    <xf numFmtId="165" fontId="62" fillId="5" borderId="3" xfId="9" applyNumberFormat="1" applyFont="1" applyFill="1" applyBorder="1" applyAlignment="1">
      <alignment horizontal="left" vertical="top" wrapText="1"/>
    </xf>
    <xf numFmtId="165" fontId="210" fillId="5" borderId="3" xfId="9" applyNumberFormat="1" applyFont="1" applyFill="1" applyBorder="1" applyAlignment="1">
      <alignment horizontal="left" vertical="top" wrapText="1"/>
    </xf>
    <xf numFmtId="165" fontId="97" fillId="5" borderId="3" xfId="9" applyNumberFormat="1" applyFont="1" applyFill="1" applyBorder="1" applyAlignment="1">
      <alignment horizontal="left" vertical="top" wrapText="1"/>
    </xf>
    <xf numFmtId="165" fontId="63" fillId="5" borderId="3" xfId="9" applyNumberFormat="1" applyFont="1" applyFill="1" applyBorder="1" applyAlignment="1">
      <alignment horizontal="left" vertical="top" wrapText="1"/>
    </xf>
    <xf numFmtId="165" fontId="213" fillId="5" borderId="3" xfId="9" applyNumberFormat="1" applyFont="1" applyFill="1" applyBorder="1" applyAlignment="1">
      <alignment horizontal="left" vertical="top" wrapText="1"/>
    </xf>
    <xf numFmtId="165" fontId="474" fillId="5" borderId="3" xfId="9" applyNumberFormat="1" applyFont="1" applyFill="1" applyBorder="1" applyAlignment="1">
      <alignment horizontal="left" vertical="top" wrapText="1"/>
    </xf>
    <xf numFmtId="165" fontId="64" fillId="5" borderId="3" xfId="9" applyNumberFormat="1" applyFont="1" applyFill="1" applyBorder="1" applyAlignment="1">
      <alignment horizontal="left" vertical="top" wrapText="1"/>
    </xf>
    <xf numFmtId="165" fontId="214" fillId="5" borderId="3" xfId="9" applyNumberFormat="1" applyFont="1" applyFill="1" applyBorder="1" applyAlignment="1">
      <alignment horizontal="left" vertical="top" wrapText="1"/>
    </xf>
    <xf numFmtId="165" fontId="475" fillId="5" borderId="3" xfId="9" applyNumberFormat="1" applyFont="1" applyFill="1" applyBorder="1" applyAlignment="1">
      <alignment horizontal="left" vertical="top" wrapText="1"/>
    </xf>
    <xf numFmtId="165" fontId="443" fillId="5" borderId="3" xfId="9" applyNumberFormat="1" applyFont="1" applyFill="1" applyBorder="1" applyAlignment="1">
      <alignment horizontal="left" vertical="top" wrapText="1"/>
    </xf>
    <xf numFmtId="165" fontId="129" fillId="5" borderId="3" xfId="9" applyNumberFormat="1" applyFont="1" applyFill="1" applyBorder="1" applyAlignment="1">
      <alignment horizontal="left" vertical="top" wrapText="1"/>
    </xf>
    <xf numFmtId="165" fontId="431" fillId="5" borderId="3" xfId="9" applyNumberFormat="1" applyFont="1" applyFill="1" applyBorder="1" applyAlignment="1">
      <alignment horizontal="left" vertical="top" wrapText="1"/>
    </xf>
    <xf numFmtId="165" fontId="371" fillId="5" borderId="3" xfId="9" applyNumberFormat="1" applyFont="1" applyFill="1" applyBorder="1" applyAlignment="1">
      <alignment horizontal="left" vertical="top" wrapText="1"/>
    </xf>
    <xf numFmtId="165" fontId="280" fillId="5" borderId="3" xfId="9" applyNumberFormat="1" applyFont="1" applyFill="1" applyBorder="1" applyAlignment="1">
      <alignment horizontal="left" vertical="top" wrapText="1"/>
    </xf>
    <xf numFmtId="165" fontId="426" fillId="5" borderId="3" xfId="9" applyNumberFormat="1" applyFont="1" applyFill="1" applyBorder="1" applyAlignment="1">
      <alignment horizontal="left" vertical="top" wrapText="1"/>
    </xf>
    <xf numFmtId="165" fontId="372" fillId="5" borderId="3" xfId="9" applyNumberFormat="1" applyFont="1" applyFill="1" applyBorder="1" applyAlignment="1">
      <alignment horizontal="left" vertical="top" wrapText="1"/>
    </xf>
    <xf numFmtId="165" fontId="281" fillId="5" borderId="3" xfId="9" applyNumberFormat="1" applyFont="1" applyFill="1" applyBorder="1" applyAlignment="1">
      <alignment horizontal="left" vertical="top" wrapText="1"/>
    </xf>
    <xf numFmtId="165" fontId="427" fillId="5" borderId="3" xfId="9" applyNumberFormat="1" applyFont="1" applyFill="1" applyBorder="1" applyAlignment="1">
      <alignment horizontal="left" vertical="top" wrapText="1"/>
    </xf>
    <xf numFmtId="165" fontId="65" fillId="5" borderId="3" xfId="9" applyNumberFormat="1" applyFont="1" applyFill="1" applyBorder="1" applyAlignment="1">
      <alignment horizontal="left" vertical="top" wrapText="1"/>
    </xf>
    <xf numFmtId="165" fontId="215" fillId="5" borderId="3" xfId="9" applyNumberFormat="1" applyFont="1" applyFill="1" applyBorder="1" applyAlignment="1">
      <alignment horizontal="left" vertical="top" wrapText="1"/>
    </xf>
    <xf numFmtId="165" fontId="476" fillId="5" borderId="3" xfId="9" applyNumberFormat="1" applyFont="1" applyFill="1" applyBorder="1" applyAlignment="1">
      <alignment horizontal="left" vertical="top" wrapText="1"/>
    </xf>
    <xf numFmtId="165" fontId="66" fillId="5" borderId="3" xfId="9" applyNumberFormat="1" applyFont="1" applyFill="1" applyBorder="1" applyAlignment="1">
      <alignment horizontal="left" vertical="top" wrapText="1"/>
    </xf>
    <xf numFmtId="165" fontId="216" fillId="5" borderId="3" xfId="9" applyNumberFormat="1" applyFont="1" applyFill="1" applyBorder="1" applyAlignment="1">
      <alignment horizontal="left" vertical="top" wrapText="1"/>
    </xf>
    <xf numFmtId="165" fontId="274" fillId="5" borderId="3" xfId="9" applyNumberFormat="1" applyFont="1" applyFill="1" applyBorder="1" applyAlignment="1">
      <alignment horizontal="left" vertical="top" wrapText="1"/>
    </xf>
    <xf numFmtId="165" fontId="67" fillId="5" borderId="3" xfId="9" applyNumberFormat="1" applyFont="1" applyFill="1" applyBorder="1" applyAlignment="1">
      <alignment horizontal="left" vertical="top" wrapText="1"/>
    </xf>
    <xf numFmtId="165" fontId="326" fillId="5" borderId="3" xfId="9" applyNumberFormat="1" applyFont="1" applyFill="1" applyBorder="1" applyAlignment="1">
      <alignment horizontal="left" vertical="top" wrapText="1"/>
    </xf>
    <xf numFmtId="165" fontId="308" fillId="5" borderId="3" xfId="9" applyNumberFormat="1" applyFont="1" applyFill="1" applyBorder="1" applyAlignment="1">
      <alignment horizontal="left" vertical="top" wrapText="1"/>
    </xf>
    <xf numFmtId="165" fontId="68" fillId="5" borderId="3" xfId="9" applyNumberFormat="1" applyFont="1" applyFill="1" applyBorder="1" applyAlignment="1">
      <alignment horizontal="left" vertical="top" wrapText="1"/>
    </xf>
    <xf numFmtId="165" fontId="327" fillId="5" borderId="3" xfId="9" applyNumberFormat="1" applyFont="1" applyFill="1" applyBorder="1" applyAlignment="1">
      <alignment horizontal="left" vertical="top" wrapText="1"/>
    </xf>
    <xf numFmtId="165" fontId="309" fillId="5" borderId="3" xfId="9" applyNumberFormat="1" applyFont="1" applyFill="1" applyBorder="1" applyAlignment="1">
      <alignment horizontal="left" vertical="top" wrapText="1"/>
    </xf>
    <xf numFmtId="165" fontId="69" fillId="5" borderId="3" xfId="9" applyNumberFormat="1" applyFont="1" applyFill="1" applyBorder="1" applyAlignment="1">
      <alignment horizontal="left" vertical="top" wrapText="1"/>
    </xf>
    <xf numFmtId="165" fontId="328" fillId="5" borderId="3" xfId="9" applyNumberFormat="1" applyFont="1" applyFill="1" applyBorder="1" applyAlignment="1">
      <alignment horizontal="left" vertical="top" wrapText="1"/>
    </xf>
    <xf numFmtId="165" fontId="310" fillId="5" borderId="3" xfId="9" applyNumberFormat="1" applyFont="1" applyFill="1" applyBorder="1" applyAlignment="1">
      <alignment horizontal="left" vertical="top" wrapText="1"/>
    </xf>
    <xf numFmtId="165" fontId="440" fillId="5" borderId="3" xfId="9" applyNumberFormat="1" applyFont="1" applyFill="1" applyBorder="1" applyAlignment="1">
      <alignment horizontal="left" vertical="top" wrapText="1"/>
    </xf>
    <xf numFmtId="165" fontId="282" fillId="5" borderId="3" xfId="9" applyNumberFormat="1" applyFont="1" applyFill="1" applyBorder="1" applyAlignment="1">
      <alignment horizontal="left" vertical="top" wrapText="1"/>
    </xf>
    <xf numFmtId="165" fontId="428" fillId="5" borderId="3" xfId="9" applyNumberFormat="1" applyFont="1" applyFill="1" applyBorder="1" applyAlignment="1">
      <alignment horizontal="left" vertical="top" wrapText="1"/>
    </xf>
    <xf numFmtId="165" fontId="70" fillId="5" borderId="3" xfId="9" applyNumberFormat="1" applyFont="1" applyFill="1" applyBorder="1" applyAlignment="1">
      <alignment horizontal="left" vertical="top" wrapText="1"/>
    </xf>
    <xf numFmtId="165" fontId="329" fillId="5" borderId="3" xfId="9" applyNumberFormat="1" applyFont="1" applyFill="1" applyBorder="1" applyAlignment="1">
      <alignment horizontal="left" vertical="top" wrapText="1"/>
    </xf>
    <xf numFmtId="165" fontId="311" fillId="5" borderId="3" xfId="9" applyNumberFormat="1" applyFont="1" applyFill="1" applyBorder="1" applyAlignment="1">
      <alignment horizontal="left" vertical="top" wrapText="1"/>
    </xf>
    <xf numFmtId="165" fontId="38" fillId="3" borderId="3" xfId="9" applyNumberFormat="1" applyFont="1" applyFill="1" applyBorder="1" applyAlignment="1">
      <alignment horizontal="left" vertical="top" wrapText="1"/>
    </xf>
    <xf numFmtId="165" fontId="441" fillId="5" borderId="3" xfId="9" applyNumberFormat="1" applyFont="1" applyFill="1" applyBorder="1" applyAlignment="1">
      <alignment horizontal="left" vertical="top" wrapText="1"/>
    </xf>
    <xf numFmtId="165" fontId="283" fillId="5" borderId="3" xfId="9" applyNumberFormat="1" applyFont="1" applyFill="1" applyBorder="1" applyAlignment="1">
      <alignment horizontal="left" vertical="top" wrapText="1"/>
    </xf>
    <xf numFmtId="165" fontId="429" fillId="5" borderId="3" xfId="9" applyNumberFormat="1" applyFont="1" applyFill="1" applyBorder="1" applyAlignment="1">
      <alignment horizontal="left" vertical="top" wrapText="1"/>
    </xf>
    <xf numFmtId="165" fontId="442" fillId="5" borderId="3" xfId="9" applyNumberFormat="1" applyFont="1" applyFill="1" applyBorder="1" applyAlignment="1">
      <alignment horizontal="left" vertical="top" wrapText="1"/>
    </xf>
    <xf numFmtId="165" fontId="128" fillId="5" borderId="3" xfId="9" applyNumberFormat="1" applyFont="1" applyFill="1" applyBorder="1" applyAlignment="1">
      <alignment horizontal="left" vertical="top" wrapText="1"/>
    </xf>
    <xf numFmtId="165" fontId="430" fillId="5" borderId="3" xfId="9" applyNumberFormat="1" applyFont="1" applyFill="1" applyBorder="1" applyAlignment="1">
      <alignment horizontal="left" vertical="top" wrapText="1"/>
    </xf>
    <xf numFmtId="165" fontId="0" fillId="0" borderId="0" xfId="9" applyNumberFormat="1" applyFont="1"/>
    <xf numFmtId="165" fontId="534" fillId="4" borderId="3" xfId="9" applyNumberFormat="1" applyFont="1" applyFill="1" applyBorder="1" applyAlignment="1">
      <alignment horizontal="center" vertical="top" wrapText="1"/>
    </xf>
    <xf numFmtId="165" fontId="565" fillId="5" borderId="3" xfId="9" applyNumberFormat="1" applyFont="1" applyFill="1" applyBorder="1" applyAlignment="1">
      <alignment horizontal="left" vertical="top" wrapText="1"/>
    </xf>
    <xf numFmtId="165" fontId="689" fillId="5" borderId="3" xfId="9" applyNumberFormat="1" applyFont="1" applyFill="1" applyBorder="1" applyAlignment="1">
      <alignment horizontal="left" vertical="top" wrapText="1"/>
    </xf>
    <xf numFmtId="165" fontId="690" fillId="5" borderId="3" xfId="9" applyNumberFormat="1" applyFont="1" applyFill="1" applyBorder="1" applyAlignment="1">
      <alignment horizontal="left" vertical="top" wrapText="1"/>
    </xf>
    <xf numFmtId="165" fontId="691" fillId="5" borderId="3" xfId="9" applyNumberFormat="1" applyFont="1" applyFill="1" applyBorder="1" applyAlignment="1">
      <alignment horizontal="left" vertical="top" wrapText="1"/>
    </xf>
    <xf numFmtId="165" fontId="784" fillId="5" borderId="3" xfId="9" applyNumberFormat="1" applyFont="1" applyFill="1" applyBorder="1" applyAlignment="1">
      <alignment horizontal="left" vertical="top" wrapText="1"/>
    </xf>
    <xf numFmtId="165" fontId="692" fillId="5" borderId="3" xfId="9" applyNumberFormat="1" applyFont="1" applyFill="1" applyBorder="1" applyAlignment="1">
      <alignment horizontal="left" vertical="top" wrapText="1"/>
    </xf>
    <xf numFmtId="165" fontId="758" fillId="5" borderId="3" xfId="9" applyNumberFormat="1" applyFont="1" applyFill="1" applyBorder="1" applyAlignment="1">
      <alignment horizontal="left" vertical="top" wrapText="1"/>
    </xf>
    <xf numFmtId="165" fontId="711" fillId="5" borderId="3" xfId="9" applyNumberFormat="1" applyFont="1" applyFill="1" applyBorder="1" applyAlignment="1">
      <alignment horizontal="left" vertical="top" wrapText="1"/>
    </xf>
    <xf numFmtId="165" fontId="707" fillId="5" borderId="3" xfId="9" applyNumberFormat="1" applyFont="1" applyFill="1" applyBorder="1" applyAlignment="1">
      <alignment horizontal="left" vertical="top" wrapText="1"/>
    </xf>
    <xf numFmtId="165" fontId="708" fillId="5" borderId="3" xfId="9" applyNumberFormat="1" applyFont="1" applyFill="1" applyBorder="1" applyAlignment="1">
      <alignment horizontal="left" vertical="top" wrapText="1"/>
    </xf>
    <xf numFmtId="165" fontId="709" fillId="5" borderId="3" xfId="9" applyNumberFormat="1" applyFont="1" applyFill="1" applyBorder="1" applyAlignment="1">
      <alignment horizontal="left" vertical="top" wrapText="1"/>
    </xf>
    <xf numFmtId="165" fontId="710" fillId="5" borderId="3" xfId="9" applyNumberFormat="1" applyFont="1" applyFill="1" applyBorder="1" applyAlignment="1">
      <alignment horizontal="left" vertical="top" wrapText="1"/>
    </xf>
    <xf numFmtId="165" fontId="759" fillId="5" borderId="3" xfId="9" applyNumberFormat="1" applyFont="1" applyFill="1" applyBorder="1" applyAlignment="1">
      <alignment horizontal="left" vertical="top" wrapText="1"/>
    </xf>
    <xf numFmtId="165" fontId="713" fillId="5" borderId="3" xfId="9" applyNumberFormat="1" applyFont="1" applyFill="1" applyBorder="1" applyAlignment="1">
      <alignment horizontal="left" vertical="top" wrapText="1"/>
    </xf>
    <xf numFmtId="165" fontId="760" fillId="5" borderId="3" xfId="9" applyNumberFormat="1" applyFont="1" applyFill="1" applyBorder="1" applyAlignment="1">
      <alignment horizontal="left" vertical="top" wrapText="1"/>
    </xf>
    <xf numFmtId="165" fontId="761" fillId="5" borderId="3" xfId="9" applyNumberFormat="1" applyFont="1" applyFill="1" applyBorder="1" applyAlignment="1">
      <alignment horizontal="left" vertical="top" wrapText="1"/>
    </xf>
    <xf numFmtId="165" fontId="762" fillId="5" borderId="3" xfId="9" applyNumberFormat="1" applyFont="1" applyFill="1" applyBorder="1" applyAlignment="1">
      <alignment horizontal="left" vertical="top" wrapText="1"/>
    </xf>
    <xf numFmtId="165" fontId="763" fillId="5" borderId="3" xfId="9" applyNumberFormat="1" applyFont="1" applyFill="1" applyBorder="1" applyAlignment="1">
      <alignment horizontal="left" vertical="top" wrapText="1"/>
    </xf>
    <xf numFmtId="165" fontId="819" fillId="5" borderId="3" xfId="9" applyNumberFormat="1" applyFont="1" applyFill="1" applyBorder="1" applyAlignment="1">
      <alignment horizontal="left" vertical="top" wrapText="1"/>
    </xf>
    <xf numFmtId="165" fontId="764" fillId="5" borderId="3" xfId="9" applyNumberFormat="1" applyFont="1" applyFill="1" applyBorder="1" applyAlignment="1">
      <alignment horizontal="left" vertical="top" wrapText="1"/>
    </xf>
    <xf numFmtId="165" fontId="683" fillId="5" borderId="3" xfId="9" applyNumberFormat="1" applyFont="1" applyFill="1" applyBorder="1" applyAlignment="1">
      <alignment horizontal="left" vertical="top" wrapText="1"/>
    </xf>
    <xf numFmtId="165" fontId="684" fillId="5" borderId="3" xfId="9" applyNumberFormat="1" applyFont="1" applyFill="1" applyBorder="1" applyAlignment="1">
      <alignment horizontal="left" vertical="top" wrapText="1"/>
    </xf>
    <xf numFmtId="165" fontId="685" fillId="5" borderId="3" xfId="9" applyNumberFormat="1" applyFont="1" applyFill="1" applyBorder="1" applyAlignment="1">
      <alignment horizontal="left" vertical="top" wrapText="1"/>
    </xf>
    <xf numFmtId="165" fontId="826" fillId="5" borderId="3" xfId="9" applyNumberFormat="1" applyFont="1" applyFill="1" applyBorder="1" applyAlignment="1">
      <alignment horizontal="left" vertical="top" wrapText="1"/>
    </xf>
    <xf numFmtId="165" fontId="827" fillId="5" borderId="3" xfId="9" applyNumberFormat="1" applyFont="1" applyFill="1" applyBorder="1" applyAlignment="1">
      <alignment horizontal="left" vertical="top" wrapText="1"/>
    </xf>
    <xf numFmtId="165" fontId="828" fillId="5" borderId="3" xfId="9" applyNumberFormat="1" applyFont="1" applyFill="1" applyBorder="1" applyAlignment="1">
      <alignment horizontal="left" vertical="top" wrapText="1"/>
    </xf>
    <xf numFmtId="165" fontId="825" fillId="5" borderId="3" xfId="9" applyNumberFormat="1" applyFont="1" applyFill="1" applyBorder="1" applyAlignment="1">
      <alignment horizontal="left" vertical="top" wrapText="1"/>
    </xf>
    <xf numFmtId="165" fontId="765" fillId="5" borderId="3" xfId="9" applyNumberFormat="1" applyFont="1" applyFill="1" applyBorder="1" applyAlignment="1">
      <alignment horizontal="left" vertical="top" wrapText="1"/>
    </xf>
    <xf numFmtId="165" fontId="531" fillId="3" borderId="3" xfId="9" applyNumberFormat="1" applyFont="1" applyFill="1" applyBorder="1" applyAlignment="1">
      <alignment horizontal="left" vertical="top" wrapText="1"/>
    </xf>
    <xf numFmtId="165" fontId="766" fillId="5" borderId="3" xfId="9" applyNumberFormat="1" applyFont="1" applyFill="1" applyBorder="1" applyAlignment="1">
      <alignment horizontal="left" vertical="top" wrapText="1"/>
    </xf>
    <xf numFmtId="165" fontId="686" fillId="5" borderId="3" xfId="9" applyNumberFormat="1" applyFont="1" applyFill="1" applyBorder="1" applyAlignment="1">
      <alignment horizontal="left" vertical="top" wrapText="1"/>
    </xf>
    <xf numFmtId="165" fontId="767" fillId="5" borderId="3" xfId="9" applyNumberFormat="1" applyFont="1" applyFill="1" applyBorder="1" applyAlignment="1">
      <alignment horizontal="left" vertical="top" wrapText="1"/>
    </xf>
    <xf numFmtId="165" fontId="768" fillId="5" borderId="3" xfId="9" applyNumberFormat="1" applyFont="1" applyFill="1" applyBorder="1" applyAlignment="1">
      <alignment horizontal="left" vertical="top" wrapText="1"/>
    </xf>
    <xf numFmtId="165" fontId="665" fillId="5" borderId="3" xfId="9" applyNumberFormat="1" applyFont="1" applyFill="1" applyBorder="1" applyAlignment="1">
      <alignment horizontal="left" vertical="top" wrapText="1"/>
    </xf>
    <xf numFmtId="165" fontId="687" fillId="5" borderId="3" xfId="9" applyNumberFormat="1" applyFont="1" applyFill="1" applyBorder="1" applyAlignment="1">
      <alignment horizontal="left" vertical="top" wrapText="1"/>
    </xf>
    <xf numFmtId="165" fontId="666" fillId="5" borderId="3" xfId="9" applyNumberFormat="1" applyFont="1" applyFill="1" applyBorder="1" applyAlignment="1">
      <alignment horizontal="left" vertical="top" wrapText="1"/>
    </xf>
    <xf numFmtId="165" fontId="667" fillId="5" borderId="3" xfId="9" applyNumberFormat="1" applyFont="1" applyFill="1" applyBorder="1" applyAlignment="1">
      <alignment horizontal="left" vertical="top" wrapText="1"/>
    </xf>
    <xf numFmtId="165" fontId="688" fillId="5" borderId="3" xfId="9" applyNumberFormat="1" applyFont="1" applyFill="1" applyBorder="1" applyAlignment="1">
      <alignment horizontal="left" vertical="top" wrapText="1"/>
    </xf>
    <xf numFmtId="165" fontId="572" fillId="5" borderId="3" xfId="9" applyNumberFormat="1" applyFont="1" applyFill="1" applyBorder="1" applyAlignment="1">
      <alignment horizontal="left" vertical="top" wrapText="1"/>
    </xf>
    <xf numFmtId="165" fontId="573" fillId="5" borderId="3" xfId="9" applyNumberFormat="1" applyFont="1" applyFill="1" applyBorder="1" applyAlignment="1">
      <alignment horizontal="left" vertical="top" wrapText="1"/>
    </xf>
    <xf numFmtId="165" fontId="574" fillId="5" borderId="3" xfId="9" applyNumberFormat="1" applyFont="1" applyFill="1" applyBorder="1" applyAlignment="1">
      <alignment horizontal="left" vertical="top" wrapText="1"/>
    </xf>
    <xf numFmtId="165" fontId="668" fillId="5" borderId="3" xfId="9" applyNumberFormat="1" applyFont="1" applyFill="1" applyBorder="1" applyAlignment="1">
      <alignment horizontal="left" vertical="top" wrapText="1"/>
    </xf>
    <xf numFmtId="165" fontId="669" fillId="5" borderId="3" xfId="9" applyNumberFormat="1" applyFont="1" applyFill="1" applyBorder="1" applyAlignment="1">
      <alignment horizontal="left" vertical="top" wrapText="1"/>
    </xf>
    <xf numFmtId="165" fontId="670" fillId="5" borderId="3" xfId="9" applyNumberFormat="1" applyFont="1" applyFill="1" applyBorder="1" applyAlignment="1">
      <alignment horizontal="left" vertical="top" wrapText="1"/>
    </xf>
    <xf numFmtId="165" fontId="671" fillId="5" borderId="3" xfId="9" applyNumberFormat="1" applyFont="1" applyFill="1" applyBorder="1" applyAlignment="1">
      <alignment horizontal="left" vertical="top" wrapText="1"/>
    </xf>
    <xf numFmtId="165" fontId="551" fillId="5" borderId="3" xfId="9" applyNumberFormat="1" applyFont="1" applyFill="1" applyBorder="1" applyAlignment="1">
      <alignment horizontal="left" vertical="top" wrapText="1"/>
    </xf>
    <xf numFmtId="165" fontId="672" fillId="5" borderId="3" xfId="9" applyNumberFormat="1" applyFont="1" applyFill="1" applyBorder="1" applyAlignment="1">
      <alignment horizontal="left" vertical="top" wrapText="1"/>
    </xf>
    <xf numFmtId="165" fontId="564" fillId="5" borderId="3" xfId="9" applyNumberFormat="1" applyFont="1" applyFill="1" applyBorder="1" applyAlignment="1">
      <alignment horizontal="left" vertical="top" wrapText="1"/>
    </xf>
    <xf numFmtId="165" fontId="673" fillId="5" borderId="3" xfId="9" applyNumberFormat="1" applyFont="1" applyFill="1" applyBorder="1" applyAlignment="1">
      <alignment horizontal="left" vertical="top" wrapText="1"/>
    </xf>
    <xf numFmtId="165" fontId="674" fillId="5" borderId="3" xfId="9" applyNumberFormat="1" applyFont="1" applyFill="1" applyBorder="1" applyAlignment="1">
      <alignment horizontal="left" vertical="top" wrapText="1"/>
    </xf>
    <xf numFmtId="165" fontId="675" fillId="5" borderId="3" xfId="9" applyNumberFormat="1" applyFont="1" applyFill="1" applyBorder="1" applyAlignment="1">
      <alignment horizontal="left" vertical="top" wrapText="1"/>
    </xf>
    <xf numFmtId="165" fontId="676" fillId="5" borderId="3" xfId="9" applyNumberFormat="1" applyFont="1" applyFill="1" applyBorder="1" applyAlignment="1">
      <alignment horizontal="left" vertical="top" wrapText="1"/>
    </xf>
    <xf numFmtId="165" fontId="677" fillId="5" borderId="3" xfId="9" applyNumberFormat="1" applyFont="1" applyFill="1" applyBorder="1" applyAlignment="1">
      <alignment horizontal="left" vertical="top" wrapText="1"/>
    </xf>
    <xf numFmtId="165" fontId="829" fillId="5" borderId="3" xfId="9" applyNumberFormat="1" applyFont="1" applyFill="1" applyBorder="1" applyAlignment="1">
      <alignment horizontal="left" vertical="top" wrapText="1"/>
    </xf>
    <xf numFmtId="165" fontId="682" fillId="5" borderId="3" xfId="9" applyNumberFormat="1" applyFont="1" applyFill="1" applyBorder="1" applyAlignment="1">
      <alignment horizontal="left" vertical="top" wrapText="1"/>
    </xf>
    <xf numFmtId="165" fontId="678" fillId="5" borderId="3" xfId="9" applyNumberFormat="1" applyFont="1" applyFill="1" applyBorder="1" applyAlignment="1">
      <alignment horizontal="left" vertical="top" wrapText="1"/>
    </xf>
    <xf numFmtId="165" fontId="544" fillId="5" borderId="3" xfId="9" applyNumberFormat="1" applyFont="1" applyFill="1" applyBorder="1" applyAlignment="1">
      <alignment horizontal="left" vertical="top" wrapText="1"/>
    </xf>
    <xf numFmtId="165" fontId="679" fillId="5" borderId="3" xfId="9" applyNumberFormat="1" applyFont="1" applyFill="1" applyBorder="1" applyAlignment="1">
      <alignment horizontal="left" vertical="top" wrapText="1"/>
    </xf>
    <xf numFmtId="165" fontId="680" fillId="5" borderId="3" xfId="9" applyNumberFormat="1" applyFont="1" applyFill="1" applyBorder="1" applyAlignment="1">
      <alignment horizontal="left" vertical="top" wrapText="1"/>
    </xf>
    <xf numFmtId="165" fontId="681" fillId="5" borderId="3" xfId="9" applyNumberFormat="1" applyFont="1" applyFill="1" applyBorder="1" applyAlignment="1">
      <alignment horizontal="center" vertical="top"/>
    </xf>
    <xf numFmtId="165" fontId="570" fillId="5" borderId="3" xfId="9" applyNumberFormat="1" applyFont="1" applyFill="1" applyBorder="1" applyAlignment="1">
      <alignment horizontal="left" vertical="top" wrapText="1"/>
    </xf>
    <xf numFmtId="165" fontId="782" fillId="5" borderId="3" xfId="9" applyNumberFormat="1" applyFont="1" applyFill="1" applyBorder="1" applyAlignment="1">
      <alignment horizontal="left" vertical="top" wrapText="1"/>
    </xf>
    <xf numFmtId="165" fontId="642" fillId="5" borderId="3" xfId="9" applyNumberFormat="1" applyFont="1" applyFill="1" applyBorder="1" applyAlignment="1">
      <alignment horizontal="left" vertical="top" wrapText="1"/>
    </xf>
    <xf numFmtId="165" fontId="643" fillId="5" borderId="3" xfId="9" applyNumberFormat="1" applyFont="1" applyFill="1" applyBorder="1" applyAlignment="1">
      <alignment horizontal="left" vertical="top" wrapText="1"/>
    </xf>
    <xf numFmtId="165" fontId="645" fillId="5" borderId="3" xfId="9" applyNumberFormat="1" applyFont="1" applyFill="1" applyBorder="1" applyAlignment="1">
      <alignment horizontal="left" vertical="top" wrapText="1"/>
    </xf>
    <xf numFmtId="165" fontId="785" fillId="5" borderId="3" xfId="9" applyNumberFormat="1" applyFont="1" applyFill="1" applyBorder="1" applyAlignment="1">
      <alignment horizontal="left" vertical="top" wrapText="1"/>
    </xf>
    <xf numFmtId="165" fontId="791" fillId="5" borderId="3" xfId="9" applyNumberFormat="1" applyFont="1" applyFill="1" applyBorder="1" applyAlignment="1">
      <alignment horizontal="left" vertical="top" wrapText="1"/>
    </xf>
    <xf numFmtId="165" fontId="639" fillId="5" borderId="3" xfId="9" applyNumberFormat="1" applyFont="1" applyFill="1" applyBorder="1" applyAlignment="1">
      <alignment horizontal="left" vertical="top" wrapText="1"/>
    </xf>
    <xf numFmtId="165" fontId="832" fillId="5" borderId="3" xfId="9" applyNumberFormat="1" applyFont="1" applyFill="1" applyBorder="1" applyAlignment="1">
      <alignment horizontal="left" vertical="top" wrapText="1"/>
    </xf>
    <xf numFmtId="165" fontId="815" fillId="5" borderId="3" xfId="9" applyNumberFormat="1" applyFont="1" applyFill="1" applyBorder="1" applyAlignment="1">
      <alignment horizontal="left" vertical="top" wrapText="1"/>
    </xf>
    <xf numFmtId="165" fontId="816" fillId="5" borderId="3" xfId="9" applyNumberFormat="1" applyFont="1" applyFill="1" applyBorder="1" applyAlignment="1">
      <alignment horizontal="left" vertical="top" wrapText="1"/>
    </xf>
    <xf numFmtId="165" fontId="830" fillId="5" borderId="3" xfId="9" applyNumberFormat="1" applyFont="1" applyFill="1" applyBorder="1" applyAlignment="1">
      <alignment horizontal="left" vertical="top" wrapText="1"/>
    </xf>
    <xf numFmtId="165" fontId="831" fillId="5" borderId="3" xfId="9" applyNumberFormat="1" applyFont="1" applyFill="1" applyBorder="1" applyAlignment="1">
      <alignment horizontal="left" vertical="top" wrapText="1"/>
    </xf>
    <xf numFmtId="165" fontId="694" fillId="5" borderId="3" xfId="9" applyNumberFormat="1" applyFont="1" applyFill="1" applyBorder="1" applyAlignment="1">
      <alignment horizontal="left" vertical="top" wrapText="1"/>
    </xf>
    <xf numFmtId="165" fontId="833" fillId="5" borderId="3" xfId="9" applyNumberFormat="1" applyFont="1" applyFill="1" applyBorder="1" applyAlignment="1">
      <alignment horizontal="left" vertical="top" wrapText="1"/>
    </xf>
    <xf numFmtId="165" fontId="804" fillId="5" borderId="3" xfId="9" applyNumberFormat="1" applyFont="1" applyFill="1" applyBorder="1" applyAlignment="1">
      <alignment horizontal="left" vertical="top" wrapText="1"/>
    </xf>
    <xf numFmtId="165" fontId="806" fillId="5" borderId="3" xfId="9" applyNumberFormat="1" applyFont="1" applyFill="1" applyBorder="1" applyAlignment="1">
      <alignment horizontal="left" vertical="top" wrapText="1"/>
    </xf>
    <xf numFmtId="165" fontId="809" fillId="5" borderId="3" xfId="9" applyNumberFormat="1" applyFont="1" applyFill="1" applyBorder="1" applyAlignment="1">
      <alignment horizontal="left" vertical="top" wrapText="1"/>
    </xf>
    <xf numFmtId="165" fontId="810" fillId="5" borderId="3" xfId="9" applyNumberFormat="1" applyFont="1" applyFill="1" applyBorder="1" applyAlignment="1">
      <alignment horizontal="left" vertical="top" wrapText="1"/>
    </xf>
    <xf numFmtId="165" fontId="814" fillId="5" borderId="3" xfId="9" applyNumberFormat="1" applyFont="1" applyFill="1" applyBorder="1" applyAlignment="1">
      <alignment horizontal="left" vertical="top" wrapText="1"/>
    </xf>
    <xf numFmtId="165" fontId="811" fillId="5" borderId="3" xfId="9" applyNumberFormat="1" applyFont="1" applyFill="1" applyBorder="1" applyAlignment="1">
      <alignment horizontal="left" vertical="top" wrapText="1"/>
    </xf>
    <xf numFmtId="165" fontId="638" fillId="5" borderId="3" xfId="9" applyNumberFormat="1" applyFont="1" applyFill="1" applyBorder="1" applyAlignment="1">
      <alignment horizontal="left" vertical="top" wrapText="1"/>
    </xf>
    <xf numFmtId="165" fontId="805" fillId="5" borderId="3" xfId="9" applyNumberFormat="1" applyFont="1" applyFill="1" applyBorder="1" applyAlignment="1">
      <alignment horizontal="left" vertical="top" wrapText="1"/>
    </xf>
    <xf numFmtId="165" fontId="812" fillId="5" borderId="3" xfId="9" applyNumberFormat="1" applyFont="1" applyFill="1" applyBorder="1" applyAlignment="1">
      <alignment horizontal="left" vertical="top" wrapText="1"/>
    </xf>
    <xf numFmtId="165" fontId="545" fillId="5" borderId="3" xfId="9" applyNumberFormat="1" applyFont="1" applyFill="1" applyBorder="1" applyAlignment="1">
      <alignment horizontal="left" vertical="top" wrapText="1"/>
    </xf>
    <xf numFmtId="165" fontId="546" fillId="5" borderId="3" xfId="9" applyNumberFormat="1" applyFont="1" applyFill="1" applyBorder="1" applyAlignment="1">
      <alignment horizontal="left" vertical="top" wrapText="1"/>
    </xf>
    <xf numFmtId="165" fontId="537" fillId="5" borderId="3" xfId="9" applyNumberFormat="1" applyFont="1" applyFill="1" applyBorder="1" applyAlignment="1">
      <alignment horizontal="left" vertical="top" wrapText="1"/>
    </xf>
    <xf numFmtId="165" fontId="834" fillId="5" borderId="3" xfId="9" applyNumberFormat="1" applyFont="1" applyFill="1" applyBorder="1" applyAlignment="1">
      <alignment horizontal="left" vertical="top" wrapText="1"/>
    </xf>
    <xf numFmtId="165" fontId="792" fillId="5" borderId="3" xfId="9" applyNumberFormat="1" applyFont="1" applyFill="1" applyBorder="1" applyAlignment="1">
      <alignment horizontal="left" vertical="top" wrapText="1"/>
    </xf>
    <xf numFmtId="165" fontId="789" fillId="5" borderId="3" xfId="9" applyNumberFormat="1" applyFont="1" applyFill="1" applyBorder="1" applyAlignment="1">
      <alignment horizontal="left" vertical="top" wrapText="1"/>
    </xf>
    <xf numFmtId="165" fontId="813" fillId="5" borderId="3" xfId="9" applyNumberFormat="1" applyFont="1" applyFill="1" applyBorder="1" applyAlignment="1">
      <alignment horizontal="left" vertical="top" wrapText="1"/>
    </xf>
    <xf numFmtId="165" fontId="652" fillId="5" borderId="3" xfId="9" applyNumberFormat="1" applyFont="1" applyFill="1" applyBorder="1" applyAlignment="1">
      <alignment horizontal="left" vertical="top" wrapText="1"/>
    </xf>
    <xf numFmtId="165" fontId="654" fillId="5" borderId="3" xfId="9" applyNumberFormat="1" applyFont="1" applyFill="1" applyBorder="1" applyAlignment="1">
      <alignment horizontal="left" vertical="top" wrapText="1"/>
    </xf>
    <xf numFmtId="165" fontId="649" fillId="5" borderId="3" xfId="9" applyNumberFormat="1" applyFont="1" applyFill="1" applyBorder="1" applyAlignment="1">
      <alignment horizontal="left" vertical="top" wrapText="1"/>
    </xf>
    <xf numFmtId="165" fontId="650" fillId="5" borderId="3" xfId="9" applyNumberFormat="1" applyFont="1" applyFill="1" applyBorder="1" applyAlignment="1">
      <alignment horizontal="left" vertical="top" wrapText="1"/>
    </xf>
    <xf numFmtId="165" fontId="640" fillId="5" borderId="3" xfId="9" applyNumberFormat="1" applyFont="1" applyFill="1" applyBorder="1" applyAlignment="1">
      <alignment horizontal="left" vertical="top" wrapText="1"/>
    </xf>
    <xf numFmtId="165" fontId="790" fillId="5" borderId="3" xfId="9" applyNumberFormat="1" applyFont="1" applyFill="1" applyBorder="1" applyAlignment="1">
      <alignment horizontal="left" vertical="top" wrapText="1"/>
    </xf>
    <xf numFmtId="165" fontId="538" fillId="5" borderId="3" xfId="9" applyNumberFormat="1" applyFont="1" applyFill="1" applyBorder="1" applyAlignment="1">
      <alignment horizontal="left" vertical="top" wrapText="1"/>
    </xf>
    <xf numFmtId="165" fontId="539" fillId="5" borderId="3" xfId="9" applyNumberFormat="1" applyFont="1" applyFill="1" applyBorder="1" applyAlignment="1">
      <alignment horizontal="left" vertical="top" wrapText="1"/>
    </xf>
    <xf numFmtId="165" fontId="540" fillId="5" borderId="3" xfId="9" applyNumberFormat="1" applyFont="1" applyFill="1" applyBorder="1" applyAlignment="1">
      <alignment horizontal="left" vertical="top" wrapText="1"/>
    </xf>
    <xf numFmtId="165" fontId="693" fillId="5" borderId="3" xfId="9" applyNumberFormat="1" applyFont="1" applyFill="1" applyBorder="1" applyAlignment="1">
      <alignment horizontal="left" vertical="top" wrapText="1"/>
    </xf>
    <xf numFmtId="165" fontId="653" fillId="5" borderId="3" xfId="9" applyNumberFormat="1" applyFont="1" applyFill="1" applyBorder="1" applyAlignment="1">
      <alignment horizontal="left" vertical="top" wrapText="1"/>
    </xf>
    <xf numFmtId="165" fontId="641" fillId="5" borderId="3" xfId="9" applyNumberFormat="1" applyFont="1" applyFill="1" applyBorder="1" applyAlignment="1">
      <alignment horizontal="left" vertical="top" wrapText="1"/>
    </xf>
    <xf numFmtId="165" fontId="651" fillId="5" borderId="3" xfId="9" applyNumberFormat="1" applyFont="1" applyFill="1" applyBorder="1" applyAlignment="1">
      <alignment horizontal="left" vertical="top" wrapText="1"/>
    </xf>
    <xf numFmtId="165" fontId="561" fillId="5" borderId="3" xfId="9" applyNumberFormat="1" applyFont="1" applyFill="1" applyBorder="1" applyAlignment="1">
      <alignment horizontal="left" vertical="top" wrapText="1"/>
    </xf>
    <xf numFmtId="165" fontId="542" fillId="5" borderId="3" xfId="9" applyNumberFormat="1" applyFont="1" applyFill="1" applyBorder="1" applyAlignment="1">
      <alignment horizontal="left" vertical="top" wrapText="1"/>
    </xf>
    <xf numFmtId="165" fontId="552" fillId="5" borderId="3" xfId="9" applyNumberFormat="1" applyFont="1" applyFill="1" applyBorder="1" applyAlignment="1">
      <alignment horizontal="left" vertical="top" wrapText="1"/>
    </xf>
    <xf numFmtId="165" fontId="612" fillId="5" borderId="3" xfId="9" applyNumberFormat="1" applyFont="1" applyFill="1" applyBorder="1" applyAlignment="1">
      <alignment horizontal="left" vertical="top" wrapText="1"/>
    </xf>
    <xf numFmtId="165" fontId="614" fillId="5" borderId="3" xfId="9" applyNumberFormat="1" applyFont="1" applyFill="1" applyBorder="1" applyAlignment="1">
      <alignment horizontal="left" vertical="top" wrapText="1"/>
    </xf>
    <xf numFmtId="165" fontId="615" fillId="5" borderId="3" xfId="9" applyNumberFormat="1" applyFont="1" applyFill="1" applyBorder="1" applyAlignment="1">
      <alignment horizontal="left" vertical="top" wrapText="1"/>
    </xf>
    <xf numFmtId="165" fontId="616" fillId="5" borderId="3" xfId="9" applyNumberFormat="1" applyFont="1" applyFill="1" applyBorder="1" applyAlignment="1">
      <alignment horizontal="left" vertical="top" wrapText="1"/>
    </xf>
    <xf numFmtId="165" fontId="613" fillId="5" borderId="3" xfId="9" applyNumberFormat="1" applyFont="1" applyFill="1" applyBorder="1" applyAlignment="1">
      <alignment horizontal="left" vertical="top" wrapText="1"/>
    </xf>
    <xf numFmtId="165" fontId="618" fillId="5" borderId="3" xfId="9" applyNumberFormat="1" applyFont="1" applyFill="1" applyBorder="1" applyAlignment="1">
      <alignment horizontal="left" vertical="top" wrapText="1"/>
    </xf>
    <xf numFmtId="165" fontId="617" fillId="5" borderId="3" xfId="9" applyNumberFormat="1" applyFont="1" applyFill="1" applyBorder="1" applyAlignment="1">
      <alignment horizontal="left" vertical="top" wrapText="1"/>
    </xf>
    <xf numFmtId="165" fontId="543" fillId="5" borderId="3" xfId="9" applyNumberFormat="1" applyFont="1" applyFill="1" applyBorder="1" applyAlignment="1">
      <alignment horizontal="left" vertical="top" wrapText="1"/>
    </xf>
    <xf numFmtId="165" fontId="571" fillId="5" borderId="3" xfId="9" applyNumberFormat="1" applyFont="1" applyFill="1" applyBorder="1" applyAlignment="1">
      <alignment horizontal="left" vertical="top" wrapText="1"/>
    </xf>
    <xf numFmtId="165" fontId="619" fillId="5" borderId="3" xfId="9" applyNumberFormat="1" applyFont="1" applyFill="1" applyBorder="1" applyAlignment="1">
      <alignment horizontal="left" vertical="top" wrapText="1"/>
    </xf>
    <xf numFmtId="165" fontId="541" fillId="5" borderId="3" xfId="9" applyNumberFormat="1" applyFont="1" applyFill="1" applyBorder="1" applyAlignment="1">
      <alignment horizontal="left" vertical="top" wrapText="1"/>
    </xf>
    <xf numFmtId="165" fontId="620" fillId="5" borderId="3" xfId="9" applyNumberFormat="1" applyFont="1" applyFill="1" applyBorder="1" applyAlignment="1">
      <alignment horizontal="center" vertical="top"/>
    </xf>
    <xf numFmtId="165" fontId="621" fillId="5" borderId="3" xfId="9" applyNumberFormat="1" applyFont="1" applyFill="1" applyBorder="1" applyAlignment="1">
      <alignment horizontal="left" vertical="top" wrapText="1"/>
    </xf>
    <xf numFmtId="165" fontId="841" fillId="5" borderId="3" xfId="9" applyNumberFormat="1" applyFont="1" applyFill="1" applyBorder="1" applyAlignment="1">
      <alignment horizontal="left" vertical="top" wrapText="1"/>
    </xf>
    <xf numFmtId="165" fontId="844" fillId="5" borderId="3" xfId="9" applyNumberFormat="1" applyFont="1" applyFill="1" applyBorder="1" applyAlignment="1">
      <alignment horizontal="left" vertical="top" wrapText="1"/>
    </xf>
    <xf numFmtId="165" fontId="839" fillId="5" borderId="3" xfId="9" applyNumberFormat="1" applyFont="1" applyFill="1" applyBorder="1" applyAlignment="1">
      <alignment horizontal="left" vertical="top" wrapText="1"/>
    </xf>
    <xf numFmtId="165" fontId="842" fillId="5" borderId="3" xfId="9" applyNumberFormat="1" applyFont="1" applyFill="1" applyBorder="1" applyAlignment="1">
      <alignment horizontal="left" vertical="top" wrapText="1"/>
    </xf>
    <xf numFmtId="165" fontId="843" fillId="5" borderId="3" xfId="9" applyNumberFormat="1" applyFont="1" applyFill="1" applyBorder="1" applyAlignment="1">
      <alignment horizontal="left" vertical="top" wrapText="1"/>
    </xf>
    <xf numFmtId="165" fontId="891" fillId="5" borderId="3" xfId="9" applyNumberFormat="1" applyFont="1" applyFill="1" applyBorder="1" applyAlignment="1">
      <alignment horizontal="left" vertical="top" wrapText="1"/>
    </xf>
    <xf numFmtId="165" fontId="909" fillId="5" borderId="3" xfId="9" applyNumberFormat="1" applyFont="1" applyFill="1" applyBorder="1" applyAlignment="1">
      <alignment horizontal="left" vertical="top" wrapText="1"/>
    </xf>
    <xf numFmtId="165" fontId="879" fillId="5" borderId="3" xfId="9" applyNumberFormat="1" applyFont="1" applyFill="1" applyBorder="1" applyAlignment="1">
      <alignment horizontal="left" vertical="top" wrapText="1"/>
    </xf>
    <xf numFmtId="165" fontId="887" fillId="5" borderId="3" xfId="9" applyNumberFormat="1" applyFont="1" applyFill="1" applyBorder="1" applyAlignment="1">
      <alignment horizontal="left" vertical="top" wrapText="1"/>
    </xf>
    <xf numFmtId="165" fontId="905" fillId="5" borderId="3" xfId="9" applyNumberFormat="1" applyFont="1" applyFill="1" applyBorder="1" applyAlignment="1">
      <alignment horizontal="left" vertical="top" wrapText="1"/>
    </xf>
    <xf numFmtId="165" fontId="875" fillId="5" borderId="3" xfId="9" applyNumberFormat="1" applyFont="1" applyFill="1" applyBorder="1" applyAlignment="1">
      <alignment horizontal="left" vertical="top" wrapText="1"/>
    </xf>
    <xf numFmtId="165" fontId="888" fillId="5" borderId="3" xfId="9" applyNumberFormat="1" applyFont="1" applyFill="1" applyBorder="1" applyAlignment="1">
      <alignment horizontal="left" vertical="top" wrapText="1"/>
    </xf>
    <xf numFmtId="165" fontId="906" fillId="5" borderId="3" xfId="9" applyNumberFormat="1" applyFont="1" applyFill="1" applyBorder="1" applyAlignment="1">
      <alignment horizontal="left" vertical="top" wrapText="1"/>
    </xf>
    <xf numFmtId="165" fontId="876" fillId="5" borderId="3" xfId="9" applyNumberFormat="1" applyFont="1" applyFill="1" applyBorder="1" applyAlignment="1">
      <alignment horizontal="left" vertical="top" wrapText="1"/>
    </xf>
    <xf numFmtId="165" fontId="889" fillId="5" borderId="3" xfId="9" applyNumberFormat="1" applyFont="1" applyFill="1" applyBorder="1" applyAlignment="1">
      <alignment horizontal="left" vertical="top" wrapText="1"/>
    </xf>
    <xf numFmtId="165" fontId="907" fillId="5" borderId="3" xfId="9" applyNumberFormat="1" applyFont="1" applyFill="1" applyBorder="1" applyAlignment="1">
      <alignment horizontal="left" vertical="top" wrapText="1"/>
    </xf>
    <xf numFmtId="165" fontId="877" fillId="5" borderId="3" xfId="9" applyNumberFormat="1" applyFont="1" applyFill="1" applyBorder="1" applyAlignment="1">
      <alignment horizontal="left" vertical="top" wrapText="1"/>
    </xf>
    <xf numFmtId="165" fontId="890" fillId="5" borderId="3" xfId="9" applyNumberFormat="1" applyFont="1" applyFill="1" applyBorder="1" applyAlignment="1">
      <alignment horizontal="left" vertical="top" wrapText="1"/>
    </xf>
    <xf numFmtId="165" fontId="908" fillId="5" borderId="3" xfId="9" applyNumberFormat="1" applyFont="1" applyFill="1" applyBorder="1" applyAlignment="1">
      <alignment horizontal="left" vertical="top" wrapText="1"/>
    </xf>
    <xf numFmtId="165" fontId="878" fillId="5" borderId="3" xfId="9" applyNumberFormat="1" applyFont="1" applyFill="1" applyBorder="1" applyAlignment="1">
      <alignment horizontal="left" vertical="top" wrapText="1"/>
    </xf>
    <xf numFmtId="165" fontId="892" fillId="5" borderId="3" xfId="9" applyNumberFormat="1" applyFont="1" applyFill="1" applyBorder="1" applyAlignment="1">
      <alignment horizontal="left" vertical="top" wrapText="1"/>
    </xf>
    <xf numFmtId="165" fontId="910" fillId="5" borderId="3" xfId="9" applyNumberFormat="1" applyFont="1" applyFill="1" applyBorder="1" applyAlignment="1">
      <alignment horizontal="left" vertical="top" wrapText="1"/>
    </xf>
    <xf numFmtId="165" fontId="880" fillId="5" borderId="3" xfId="9" applyNumberFormat="1" applyFont="1" applyFill="1" applyBorder="1" applyAlignment="1">
      <alignment horizontal="left" vertical="top" wrapText="1"/>
    </xf>
    <xf numFmtId="165" fontId="924" fillId="5" borderId="3" xfId="9" applyNumberFormat="1" applyFont="1" applyFill="1" applyBorder="1" applyAlignment="1">
      <alignment horizontal="left" vertical="top" wrapText="1"/>
    </xf>
    <xf numFmtId="165" fontId="937" fillId="5" borderId="3" xfId="9" applyNumberFormat="1" applyFont="1" applyFill="1" applyBorder="1" applyAlignment="1">
      <alignment horizontal="left" vertical="top" wrapText="1"/>
    </xf>
    <xf numFmtId="165" fontId="921" fillId="5" borderId="3" xfId="9" applyNumberFormat="1" applyFont="1" applyFill="1" applyBorder="1" applyAlignment="1">
      <alignment horizontal="left" vertical="top" wrapText="1"/>
    </xf>
    <xf numFmtId="165" fontId="938" fillId="5" borderId="3" xfId="9" applyNumberFormat="1" applyFont="1" applyFill="1" applyBorder="1" applyAlignment="1">
      <alignment horizontal="left" vertical="top" wrapText="1"/>
    </xf>
    <xf numFmtId="165" fontId="1051" fillId="5" borderId="3" xfId="9" applyNumberFormat="1" applyFont="1" applyFill="1" applyBorder="1" applyAlignment="1">
      <alignment horizontal="left" vertical="top" wrapText="1"/>
    </xf>
    <xf numFmtId="165" fontId="1048" fillId="5" borderId="3" xfId="9" applyNumberFormat="1" applyFont="1" applyFill="1" applyBorder="1" applyAlignment="1">
      <alignment horizontal="left" vertical="top" wrapText="1"/>
    </xf>
    <xf numFmtId="165" fontId="1052" fillId="5" borderId="3" xfId="9" applyNumberFormat="1" applyFont="1" applyFill="1" applyBorder="1" applyAlignment="1">
      <alignment horizontal="left" vertical="top" wrapText="1"/>
    </xf>
    <xf numFmtId="165" fontId="1053" fillId="5" borderId="3" xfId="9" applyNumberFormat="1" applyFont="1" applyFill="1" applyBorder="1" applyAlignment="1">
      <alignment horizontal="left" vertical="top" wrapText="1"/>
    </xf>
    <xf numFmtId="165" fontId="1054" fillId="5" borderId="3" xfId="9" applyNumberFormat="1" applyFont="1" applyFill="1" applyBorder="1" applyAlignment="1">
      <alignment horizontal="left" vertical="top" wrapText="1"/>
    </xf>
    <xf numFmtId="165" fontId="1020" fillId="5" borderId="3" xfId="9" applyNumberFormat="1" applyFont="1" applyFill="1" applyBorder="1" applyAlignment="1">
      <alignment horizontal="left" vertical="top" wrapText="1"/>
    </xf>
    <xf numFmtId="165" fontId="1021" fillId="5" borderId="3" xfId="9" applyNumberFormat="1" applyFont="1" applyFill="1" applyBorder="1" applyAlignment="1">
      <alignment horizontal="left" vertical="top" wrapText="1"/>
    </xf>
    <xf numFmtId="165" fontId="1022" fillId="5" borderId="3" xfId="9" applyNumberFormat="1" applyFont="1" applyFill="1" applyBorder="1" applyAlignment="1">
      <alignment horizontal="left" vertical="top" wrapText="1"/>
    </xf>
    <xf numFmtId="165" fontId="1041" fillId="5" borderId="3" xfId="9" applyNumberFormat="1" applyFont="1" applyFill="1" applyBorder="1" applyAlignment="1">
      <alignment horizontal="left" vertical="top" wrapText="1"/>
    </xf>
    <xf numFmtId="165" fontId="1014" fillId="5" borderId="3" xfId="9" applyNumberFormat="1" applyFont="1" applyFill="1" applyBorder="1" applyAlignment="1">
      <alignment horizontal="left" vertical="top" wrapText="1"/>
    </xf>
    <xf numFmtId="165" fontId="1017" fillId="5" borderId="3" xfId="9" applyNumberFormat="1" applyFont="1" applyFill="1" applyBorder="1" applyAlignment="1">
      <alignment horizontal="left" vertical="top" wrapText="1"/>
    </xf>
    <xf numFmtId="165" fontId="1018" fillId="5" borderId="3" xfId="9" applyNumberFormat="1" applyFont="1" applyFill="1" applyBorder="1" applyAlignment="1">
      <alignment horizontal="left" vertical="top" wrapText="1"/>
    </xf>
    <xf numFmtId="165" fontId="1023" fillId="5" borderId="3" xfId="9" applyNumberFormat="1" applyFont="1" applyFill="1" applyBorder="1" applyAlignment="1">
      <alignment horizontal="left" vertical="top" wrapText="1"/>
    </xf>
    <xf numFmtId="165" fontId="1047" fillId="5" borderId="3" xfId="9" applyNumberFormat="1" applyFont="1" applyFill="1" applyBorder="1" applyAlignment="1">
      <alignment horizontal="left" vertical="top" wrapText="1"/>
    </xf>
    <xf numFmtId="165" fontId="1049" fillId="5" borderId="3" xfId="9" applyNumberFormat="1" applyFont="1" applyFill="1" applyBorder="1" applyAlignment="1">
      <alignment horizontal="left" vertical="top" wrapText="1"/>
    </xf>
    <xf numFmtId="165" fontId="1050" fillId="5" borderId="3" xfId="9" applyNumberFormat="1" applyFont="1" applyFill="1" applyBorder="1" applyAlignment="1">
      <alignment horizontal="left" vertical="top" wrapText="1"/>
    </xf>
    <xf numFmtId="165" fontId="1081" fillId="5" borderId="3" xfId="9" applyNumberFormat="1" applyFont="1" applyFill="1" applyBorder="1" applyAlignment="1">
      <alignment horizontal="left" vertical="top" wrapText="1"/>
    </xf>
    <xf numFmtId="165" fontId="1074" fillId="5" borderId="3" xfId="9" applyNumberFormat="1" applyFont="1" applyFill="1" applyBorder="1" applyAlignment="1">
      <alignment horizontal="left" vertical="top" wrapText="1"/>
    </xf>
    <xf numFmtId="165" fontId="1075" fillId="5" borderId="3" xfId="9" applyNumberFormat="1" applyFont="1" applyFill="1" applyBorder="1" applyAlignment="1">
      <alignment horizontal="left" vertical="top" wrapText="1"/>
    </xf>
    <xf numFmtId="165" fontId="1080" fillId="5" borderId="3" xfId="9" applyNumberFormat="1" applyFont="1" applyFill="1" applyBorder="1" applyAlignment="1">
      <alignment horizontal="left" vertical="top" wrapText="1"/>
    </xf>
    <xf numFmtId="165" fontId="1072" fillId="5" borderId="3" xfId="9" applyNumberFormat="1" applyFont="1" applyFill="1" applyBorder="1" applyAlignment="1">
      <alignment horizontal="left" vertical="top" wrapText="1"/>
    </xf>
    <xf numFmtId="10" fontId="1073" fillId="5" borderId="3" xfId="8" applyNumberFormat="1" applyFont="1" applyFill="1" applyBorder="1" applyAlignment="1">
      <alignment horizontal="right" vertical="top" wrapText="1"/>
    </xf>
    <xf numFmtId="165" fontId="0" fillId="0" borderId="0" xfId="0" applyNumberFormat="1"/>
    <xf numFmtId="0" fontId="0" fillId="0" borderId="0" xfId="0"/>
    <xf numFmtId="0" fontId="1089" fillId="5" borderId="4" xfId="10" applyFont="1" applyFill="1" applyBorder="1" applyAlignment="1">
      <alignment horizontal="center" vertical="center" wrapText="1"/>
    </xf>
    <xf numFmtId="0" fontId="1089" fillId="5" borderId="5" xfId="10" applyFont="1" applyFill="1" applyBorder="1" applyAlignment="1">
      <alignment vertical="center" wrapText="1"/>
    </xf>
    <xf numFmtId="165" fontId="1090" fillId="5" borderId="3" xfId="9" applyNumberFormat="1" applyFont="1" applyFill="1" applyBorder="1" applyAlignment="1">
      <alignment horizontal="left" vertical="top" wrapText="1"/>
    </xf>
    <xf numFmtId="165" fontId="995" fillId="5" borderId="3" xfId="9" applyNumberFormat="1" applyFont="1" applyFill="1" applyBorder="1" applyAlignment="1">
      <alignment horizontal="left" vertical="top" wrapText="1"/>
    </xf>
    <xf numFmtId="165" fontId="1000" fillId="5" borderId="3" xfId="9" applyNumberFormat="1" applyFont="1" applyFill="1" applyBorder="1" applyAlignment="1">
      <alignment horizontal="left" vertical="top" wrapText="1"/>
    </xf>
    <xf numFmtId="0" fontId="726" fillId="5" borderId="3" xfId="0" applyFont="1" applyFill="1" applyBorder="1" applyAlignment="1">
      <alignment horizontal="left" vertical="top"/>
    </xf>
    <xf numFmtId="0" fontId="3" fillId="0" borderId="0" xfId="0" applyFont="1" applyAlignment="1">
      <alignment horizontal="center"/>
    </xf>
    <xf numFmtId="0" fontId="9" fillId="0" borderId="2" xfId="0" applyFont="1" applyBorder="1" applyAlignment="1">
      <alignment horizontal="right" wrapText="1"/>
    </xf>
    <xf numFmtId="0" fontId="18" fillId="0" borderId="0" xfId="0" applyNumberFormat="1" applyFont="1" applyAlignment="1">
      <alignment horizontal="center" vertical="top" wrapText="1"/>
    </xf>
    <xf numFmtId="0" fontId="6" fillId="0" borderId="0" xfId="1" applyFont="1"/>
    <xf numFmtId="0" fontId="6" fillId="0" borderId="0" xfId="0" applyFont="1"/>
    <xf numFmtId="0" fontId="530" fillId="5" borderId="3" xfId="0" applyFont="1" applyFill="1" applyBorder="1" applyAlignment="1">
      <alignment horizontal="left" vertical="top" wrapText="1"/>
    </xf>
    <xf numFmtId="0" fontId="0" fillId="0" borderId="0" xfId="0"/>
    <xf numFmtId="165" fontId="41" fillId="4" borderId="3" xfId="9" applyNumberFormat="1" applyFont="1" applyFill="1" applyBorder="1" applyAlignment="1">
      <alignment horizontal="center" vertical="top" wrapText="1"/>
    </xf>
    <xf numFmtId="165" fontId="39" fillId="4" borderId="3" xfId="9" applyNumberFormat="1" applyFont="1" applyFill="1" applyBorder="1" applyAlignment="1">
      <alignment horizontal="center" vertical="top" wrapText="1"/>
    </xf>
    <xf numFmtId="0" fontId="41" fillId="4" borderId="3" xfId="0" applyFont="1" applyFill="1" applyBorder="1" applyAlignment="1">
      <alignment horizontal="center" vertical="top" wrapText="1"/>
    </xf>
    <xf numFmtId="0" fontId="39" fillId="4" borderId="3" xfId="0" applyFont="1" applyFill="1" applyBorder="1" applyAlignment="1">
      <alignment horizontal="center" vertical="top" wrapText="1"/>
    </xf>
    <xf numFmtId="0" fontId="42" fillId="6" borderId="0" xfId="0" applyFont="1" applyFill="1" applyAlignment="1">
      <alignment horizontal="center"/>
    </xf>
    <xf numFmtId="0" fontId="43" fillId="6" borderId="0" xfId="0" applyFont="1" applyFill="1" applyAlignment="1">
      <alignment horizontal="center"/>
    </xf>
    <xf numFmtId="0" fontId="40" fillId="6" borderId="0" xfId="0" applyFont="1" applyFill="1" applyAlignment="1">
      <alignment horizontal="center"/>
    </xf>
    <xf numFmtId="0" fontId="534" fillId="4" borderId="3" xfId="0" applyFont="1" applyFill="1" applyBorder="1" applyAlignment="1">
      <alignment horizontal="center" vertical="top" wrapText="1"/>
    </xf>
    <xf numFmtId="0" fontId="532" fillId="4" borderId="3" xfId="0" applyFont="1" applyFill="1" applyBorder="1" applyAlignment="1">
      <alignment horizontal="center" vertical="top" wrapText="1"/>
    </xf>
    <xf numFmtId="0" fontId="535" fillId="6" borderId="0" xfId="0" applyFont="1" applyFill="1" applyAlignment="1">
      <alignment horizontal="center"/>
    </xf>
    <xf numFmtId="0" fontId="536" fillId="6" borderId="0" xfId="0" applyFont="1" applyFill="1" applyAlignment="1">
      <alignment horizontal="center"/>
    </xf>
    <xf numFmtId="0" fontId="533" fillId="6" borderId="0" xfId="0" applyFont="1" applyFill="1" applyAlignment="1">
      <alignment horizontal="center"/>
    </xf>
    <xf numFmtId="0" fontId="836" fillId="6" borderId="0" xfId="0" applyFont="1" applyFill="1" applyAlignment="1">
      <alignment horizontal="center"/>
    </xf>
    <xf numFmtId="0" fontId="837" fillId="6" borderId="0" xfId="0" applyFont="1" applyFill="1" applyAlignment="1">
      <alignment horizontal="center"/>
    </xf>
    <xf numFmtId="0" fontId="856" fillId="4" borderId="3" xfId="0" applyFont="1" applyFill="1" applyBorder="1" applyAlignment="1">
      <alignment horizontal="center" vertical="top" wrapText="1"/>
    </xf>
    <xf numFmtId="0" fontId="854" fillId="4" borderId="3" xfId="0" applyFont="1" applyFill="1" applyBorder="1" applyAlignment="1">
      <alignment horizontal="center" vertical="top" wrapText="1"/>
    </xf>
    <xf numFmtId="0" fontId="857" fillId="6" borderId="0" xfId="0" applyFont="1" applyFill="1" applyAlignment="1">
      <alignment horizontal="center"/>
    </xf>
    <xf numFmtId="0" fontId="858" fillId="6" borderId="0" xfId="0" applyFont="1" applyFill="1" applyAlignment="1">
      <alignment horizontal="center"/>
    </xf>
    <xf numFmtId="0" fontId="855" fillId="6" borderId="0" xfId="0" applyFont="1" applyFill="1" applyAlignment="1">
      <alignment horizontal="center"/>
    </xf>
    <xf numFmtId="0" fontId="913" fillId="6" borderId="0" xfId="0" applyFont="1" applyFill="1" applyAlignment="1">
      <alignment horizontal="center"/>
    </xf>
    <xf numFmtId="0" fontId="914" fillId="6" borderId="0" xfId="0" applyFont="1" applyFill="1" applyAlignment="1">
      <alignment horizontal="center"/>
    </xf>
    <xf numFmtId="0" fontId="942" fillId="6" borderId="0" xfId="0" applyFont="1" applyFill="1" applyAlignment="1">
      <alignment horizontal="center"/>
    </xf>
    <xf numFmtId="0" fontId="990" fillId="6" borderId="0" xfId="0" applyFont="1" applyFill="1" applyAlignment="1">
      <alignment horizontal="center"/>
    </xf>
    <xf numFmtId="0" fontId="991" fillId="6" borderId="0" xfId="0" applyFont="1" applyFill="1" applyAlignment="1">
      <alignment horizontal="center"/>
    </xf>
    <xf numFmtId="0" fontId="1002" fillId="6" borderId="0" xfId="0" applyFont="1" applyFill="1" applyAlignment="1">
      <alignment horizontal="center"/>
    </xf>
    <xf numFmtId="0" fontId="1003" fillId="6" borderId="0" xfId="0" applyFont="1" applyFill="1" applyAlignment="1">
      <alignment horizontal="center"/>
    </xf>
    <xf numFmtId="0" fontId="1056" fillId="6" borderId="0" xfId="0" applyFont="1" applyFill="1" applyAlignment="1">
      <alignment horizontal="center"/>
    </xf>
  </cellXfs>
  <cellStyles count="11">
    <cellStyle name="Comma" xfId="9" builtinId="3"/>
    <cellStyle name="Comma 2" xfId="4"/>
    <cellStyle name="Comma 2 2" xfId="7"/>
    <cellStyle name="Comma 3" xfId="2"/>
    <cellStyle name="Comma 3 2" xfId="6"/>
    <cellStyle name="Normal" xfId="0" builtinId="0"/>
    <cellStyle name="Normal 2" xfId="1"/>
    <cellStyle name="Normal 42" xfId="5"/>
    <cellStyle name="Normal 6 2" xfId="10"/>
    <cellStyle name="Percent" xfId="8"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9"/>
  <sheetViews>
    <sheetView workbookViewId="0">
      <selection activeCell="C7" sqref="C7"/>
    </sheetView>
  </sheetViews>
  <sheetFormatPr defaultColWidth="8.85546875" defaultRowHeight="15" x14ac:dyDescent="0.25"/>
  <cols>
    <col min="1" max="1" width="3.7109375" style="1" customWidth="1"/>
    <col min="2" max="2" width="31.28515625" style="1" bestFit="1" customWidth="1"/>
    <col min="3" max="3" width="90.85546875" style="1" customWidth="1"/>
    <col min="4" max="4" width="27.28515625" style="1" bestFit="1" customWidth="1"/>
    <col min="5" max="253" width="8.85546875" style="1"/>
    <col min="254" max="254" width="3.7109375" style="1" customWidth="1"/>
    <col min="255" max="255" width="15.140625" style="1" customWidth="1"/>
    <col min="256" max="256" width="31.42578125" style="1" bestFit="1" customWidth="1"/>
    <col min="257" max="257" width="38.7109375" style="1" customWidth="1"/>
    <col min="258" max="509" width="8.85546875" style="1"/>
    <col min="510" max="510" width="3.7109375" style="1" customWidth="1"/>
    <col min="511" max="511" width="15.140625" style="1" customWidth="1"/>
    <col min="512" max="512" width="31.42578125" style="1" bestFit="1" customWidth="1"/>
    <col min="513" max="513" width="38.7109375" style="1" customWidth="1"/>
    <col min="514" max="765" width="8.85546875" style="1"/>
    <col min="766" max="766" width="3.7109375" style="1" customWidth="1"/>
    <col min="767" max="767" width="15.140625" style="1" customWidth="1"/>
    <col min="768" max="768" width="31.42578125" style="1" bestFit="1" customWidth="1"/>
    <col min="769" max="769" width="38.7109375" style="1" customWidth="1"/>
    <col min="770" max="1021" width="8.85546875" style="1"/>
    <col min="1022" max="1022" width="3.7109375" style="1" customWidth="1"/>
    <col min="1023" max="1023" width="15.140625" style="1" customWidth="1"/>
    <col min="1024" max="1024" width="31.42578125" style="1" bestFit="1" customWidth="1"/>
    <col min="1025" max="1025" width="38.7109375" style="1" customWidth="1"/>
    <col min="1026" max="1277" width="8.85546875" style="1"/>
    <col min="1278" max="1278" width="3.7109375" style="1" customWidth="1"/>
    <col min="1279" max="1279" width="15.140625" style="1" customWidth="1"/>
    <col min="1280" max="1280" width="31.42578125" style="1" bestFit="1" customWidth="1"/>
    <col min="1281" max="1281" width="38.7109375" style="1" customWidth="1"/>
    <col min="1282" max="1533" width="8.85546875" style="1"/>
    <col min="1534" max="1534" width="3.7109375" style="1" customWidth="1"/>
    <col min="1535" max="1535" width="15.140625" style="1" customWidth="1"/>
    <col min="1536" max="1536" width="31.42578125" style="1" bestFit="1" customWidth="1"/>
    <col min="1537" max="1537" width="38.7109375" style="1" customWidth="1"/>
    <col min="1538" max="1789" width="8.85546875" style="1"/>
    <col min="1790" max="1790" width="3.7109375" style="1" customWidth="1"/>
    <col min="1791" max="1791" width="15.140625" style="1" customWidth="1"/>
    <col min="1792" max="1792" width="31.42578125" style="1" bestFit="1" customWidth="1"/>
    <col min="1793" max="1793" width="38.7109375" style="1" customWidth="1"/>
    <col min="1794" max="2045" width="8.85546875" style="1"/>
    <col min="2046" max="2046" width="3.7109375" style="1" customWidth="1"/>
    <col min="2047" max="2047" width="15.140625" style="1" customWidth="1"/>
    <col min="2048" max="2048" width="31.42578125" style="1" bestFit="1" customWidth="1"/>
    <col min="2049" max="2049" width="38.7109375" style="1" customWidth="1"/>
    <col min="2050" max="2301" width="8.85546875" style="1"/>
    <col min="2302" max="2302" width="3.7109375" style="1" customWidth="1"/>
    <col min="2303" max="2303" width="15.140625" style="1" customWidth="1"/>
    <col min="2304" max="2304" width="31.42578125" style="1" bestFit="1" customWidth="1"/>
    <col min="2305" max="2305" width="38.7109375" style="1" customWidth="1"/>
    <col min="2306" max="2557" width="8.85546875" style="1"/>
    <col min="2558" max="2558" width="3.7109375" style="1" customWidth="1"/>
    <col min="2559" max="2559" width="15.140625" style="1" customWidth="1"/>
    <col min="2560" max="2560" width="31.42578125" style="1" bestFit="1" customWidth="1"/>
    <col min="2561" max="2561" width="38.7109375" style="1" customWidth="1"/>
    <col min="2562" max="2813" width="8.85546875" style="1"/>
    <col min="2814" max="2814" width="3.7109375" style="1" customWidth="1"/>
    <col min="2815" max="2815" width="15.140625" style="1" customWidth="1"/>
    <col min="2816" max="2816" width="31.42578125" style="1" bestFit="1" customWidth="1"/>
    <col min="2817" max="2817" width="38.7109375" style="1" customWidth="1"/>
    <col min="2818" max="3069" width="8.85546875" style="1"/>
    <col min="3070" max="3070" width="3.7109375" style="1" customWidth="1"/>
    <col min="3071" max="3071" width="15.140625" style="1" customWidth="1"/>
    <col min="3072" max="3072" width="31.42578125" style="1" bestFit="1" customWidth="1"/>
    <col min="3073" max="3073" width="38.7109375" style="1" customWidth="1"/>
    <col min="3074" max="3325" width="8.85546875" style="1"/>
    <col min="3326" max="3326" width="3.7109375" style="1" customWidth="1"/>
    <col min="3327" max="3327" width="15.140625" style="1" customWidth="1"/>
    <col min="3328" max="3328" width="31.42578125" style="1" bestFit="1" customWidth="1"/>
    <col min="3329" max="3329" width="38.7109375" style="1" customWidth="1"/>
    <col min="3330" max="3581" width="8.85546875" style="1"/>
    <col min="3582" max="3582" width="3.7109375" style="1" customWidth="1"/>
    <col min="3583" max="3583" width="15.140625" style="1" customWidth="1"/>
    <col min="3584" max="3584" width="31.42578125" style="1" bestFit="1" customWidth="1"/>
    <col min="3585" max="3585" width="38.7109375" style="1" customWidth="1"/>
    <col min="3586" max="3837" width="8.85546875" style="1"/>
    <col min="3838" max="3838" width="3.7109375" style="1" customWidth="1"/>
    <col min="3839" max="3839" width="15.140625" style="1" customWidth="1"/>
    <col min="3840" max="3840" width="31.42578125" style="1" bestFit="1" customWidth="1"/>
    <col min="3841" max="3841" width="38.7109375" style="1" customWidth="1"/>
    <col min="3842" max="4093" width="8.85546875" style="1"/>
    <col min="4094" max="4094" width="3.7109375" style="1" customWidth="1"/>
    <col min="4095" max="4095" width="15.140625" style="1" customWidth="1"/>
    <col min="4096" max="4096" width="31.42578125" style="1" bestFit="1" customWidth="1"/>
    <col min="4097" max="4097" width="38.7109375" style="1" customWidth="1"/>
    <col min="4098" max="4349" width="8.85546875" style="1"/>
    <col min="4350" max="4350" width="3.7109375" style="1" customWidth="1"/>
    <col min="4351" max="4351" width="15.140625" style="1" customWidth="1"/>
    <col min="4352" max="4352" width="31.42578125" style="1" bestFit="1" customWidth="1"/>
    <col min="4353" max="4353" width="38.7109375" style="1" customWidth="1"/>
    <col min="4354" max="4605" width="8.85546875" style="1"/>
    <col min="4606" max="4606" width="3.7109375" style="1" customWidth="1"/>
    <col min="4607" max="4607" width="15.140625" style="1" customWidth="1"/>
    <col min="4608" max="4608" width="31.42578125" style="1" bestFit="1" customWidth="1"/>
    <col min="4609" max="4609" width="38.7109375" style="1" customWidth="1"/>
    <col min="4610" max="4861" width="8.85546875" style="1"/>
    <col min="4862" max="4862" width="3.7109375" style="1" customWidth="1"/>
    <col min="4863" max="4863" width="15.140625" style="1" customWidth="1"/>
    <col min="4864" max="4864" width="31.42578125" style="1" bestFit="1" customWidth="1"/>
    <col min="4865" max="4865" width="38.7109375" style="1" customWidth="1"/>
    <col min="4866" max="5117" width="8.85546875" style="1"/>
    <col min="5118" max="5118" width="3.7109375" style="1" customWidth="1"/>
    <col min="5119" max="5119" width="15.140625" style="1" customWidth="1"/>
    <col min="5120" max="5120" width="31.42578125" style="1" bestFit="1" customWidth="1"/>
    <col min="5121" max="5121" width="38.7109375" style="1" customWidth="1"/>
    <col min="5122" max="5373" width="8.85546875" style="1"/>
    <col min="5374" max="5374" width="3.7109375" style="1" customWidth="1"/>
    <col min="5375" max="5375" width="15.140625" style="1" customWidth="1"/>
    <col min="5376" max="5376" width="31.42578125" style="1" bestFit="1" customWidth="1"/>
    <col min="5377" max="5377" width="38.7109375" style="1" customWidth="1"/>
    <col min="5378" max="5629" width="8.85546875" style="1"/>
    <col min="5630" max="5630" width="3.7109375" style="1" customWidth="1"/>
    <col min="5631" max="5631" width="15.140625" style="1" customWidth="1"/>
    <col min="5632" max="5632" width="31.42578125" style="1" bestFit="1" customWidth="1"/>
    <col min="5633" max="5633" width="38.7109375" style="1" customWidth="1"/>
    <col min="5634" max="5885" width="8.85546875" style="1"/>
    <col min="5886" max="5886" width="3.7109375" style="1" customWidth="1"/>
    <col min="5887" max="5887" width="15.140625" style="1" customWidth="1"/>
    <col min="5888" max="5888" width="31.42578125" style="1" bestFit="1" customWidth="1"/>
    <col min="5889" max="5889" width="38.7109375" style="1" customWidth="1"/>
    <col min="5890" max="6141" width="8.85546875" style="1"/>
    <col min="6142" max="6142" width="3.7109375" style="1" customWidth="1"/>
    <col min="6143" max="6143" width="15.140625" style="1" customWidth="1"/>
    <col min="6144" max="6144" width="31.42578125" style="1" bestFit="1" customWidth="1"/>
    <col min="6145" max="6145" width="38.7109375" style="1" customWidth="1"/>
    <col min="6146" max="6397" width="8.85546875" style="1"/>
    <col min="6398" max="6398" width="3.7109375" style="1" customWidth="1"/>
    <col min="6399" max="6399" width="15.140625" style="1" customWidth="1"/>
    <col min="6400" max="6400" width="31.42578125" style="1" bestFit="1" customWidth="1"/>
    <col min="6401" max="6401" width="38.7109375" style="1" customWidth="1"/>
    <col min="6402" max="6653" width="8.85546875" style="1"/>
    <col min="6654" max="6654" width="3.7109375" style="1" customWidth="1"/>
    <col min="6655" max="6655" width="15.140625" style="1" customWidth="1"/>
    <col min="6656" max="6656" width="31.42578125" style="1" bestFit="1" customWidth="1"/>
    <col min="6657" max="6657" width="38.7109375" style="1" customWidth="1"/>
    <col min="6658" max="6909" width="8.85546875" style="1"/>
    <col min="6910" max="6910" width="3.7109375" style="1" customWidth="1"/>
    <col min="6911" max="6911" width="15.140625" style="1" customWidth="1"/>
    <col min="6912" max="6912" width="31.42578125" style="1" bestFit="1" customWidth="1"/>
    <col min="6913" max="6913" width="38.7109375" style="1" customWidth="1"/>
    <col min="6914" max="7165" width="8.85546875" style="1"/>
    <col min="7166" max="7166" width="3.7109375" style="1" customWidth="1"/>
    <col min="7167" max="7167" width="15.140625" style="1" customWidth="1"/>
    <col min="7168" max="7168" width="31.42578125" style="1" bestFit="1" customWidth="1"/>
    <col min="7169" max="7169" width="38.7109375" style="1" customWidth="1"/>
    <col min="7170" max="7421" width="8.85546875" style="1"/>
    <col min="7422" max="7422" width="3.7109375" style="1" customWidth="1"/>
    <col min="7423" max="7423" width="15.140625" style="1" customWidth="1"/>
    <col min="7424" max="7424" width="31.42578125" style="1" bestFit="1" customWidth="1"/>
    <col min="7425" max="7425" width="38.7109375" style="1" customWidth="1"/>
    <col min="7426" max="7677" width="8.85546875" style="1"/>
    <col min="7678" max="7678" width="3.7109375" style="1" customWidth="1"/>
    <col min="7679" max="7679" width="15.140625" style="1" customWidth="1"/>
    <col min="7680" max="7680" width="31.42578125" style="1" bestFit="1" customWidth="1"/>
    <col min="7681" max="7681" width="38.7109375" style="1" customWidth="1"/>
    <col min="7682" max="7933" width="8.85546875" style="1"/>
    <col min="7934" max="7934" width="3.7109375" style="1" customWidth="1"/>
    <col min="7935" max="7935" width="15.140625" style="1" customWidth="1"/>
    <col min="7936" max="7936" width="31.42578125" style="1" bestFit="1" customWidth="1"/>
    <col min="7937" max="7937" width="38.7109375" style="1" customWidth="1"/>
    <col min="7938" max="8189" width="8.85546875" style="1"/>
    <col min="8190" max="8190" width="3.7109375" style="1" customWidth="1"/>
    <col min="8191" max="8191" width="15.140625" style="1" customWidth="1"/>
    <col min="8192" max="8192" width="31.42578125" style="1" bestFit="1" customWidth="1"/>
    <col min="8193" max="8193" width="38.7109375" style="1" customWidth="1"/>
    <col min="8194" max="8445" width="8.85546875" style="1"/>
    <col min="8446" max="8446" width="3.7109375" style="1" customWidth="1"/>
    <col min="8447" max="8447" width="15.140625" style="1" customWidth="1"/>
    <col min="8448" max="8448" width="31.42578125" style="1" bestFit="1" customWidth="1"/>
    <col min="8449" max="8449" width="38.7109375" style="1" customWidth="1"/>
    <col min="8450" max="8701" width="8.85546875" style="1"/>
    <col min="8702" max="8702" width="3.7109375" style="1" customWidth="1"/>
    <col min="8703" max="8703" width="15.140625" style="1" customWidth="1"/>
    <col min="8704" max="8704" width="31.42578125" style="1" bestFit="1" customWidth="1"/>
    <col min="8705" max="8705" width="38.7109375" style="1" customWidth="1"/>
    <col min="8706" max="8957" width="8.85546875" style="1"/>
    <col min="8958" max="8958" width="3.7109375" style="1" customWidth="1"/>
    <col min="8959" max="8959" width="15.140625" style="1" customWidth="1"/>
    <col min="8960" max="8960" width="31.42578125" style="1" bestFit="1" customWidth="1"/>
    <col min="8961" max="8961" width="38.7109375" style="1" customWidth="1"/>
    <col min="8962" max="9213" width="8.85546875" style="1"/>
    <col min="9214" max="9214" width="3.7109375" style="1" customWidth="1"/>
    <col min="9215" max="9215" width="15.140625" style="1" customWidth="1"/>
    <col min="9216" max="9216" width="31.42578125" style="1" bestFit="1" customWidth="1"/>
    <col min="9217" max="9217" width="38.7109375" style="1" customWidth="1"/>
    <col min="9218" max="9469" width="8.85546875" style="1"/>
    <col min="9470" max="9470" width="3.7109375" style="1" customWidth="1"/>
    <col min="9471" max="9471" width="15.140625" style="1" customWidth="1"/>
    <col min="9472" max="9472" width="31.42578125" style="1" bestFit="1" customWidth="1"/>
    <col min="9473" max="9473" width="38.7109375" style="1" customWidth="1"/>
    <col min="9474" max="9725" width="8.85546875" style="1"/>
    <col min="9726" max="9726" width="3.7109375" style="1" customWidth="1"/>
    <col min="9727" max="9727" width="15.140625" style="1" customWidth="1"/>
    <col min="9728" max="9728" width="31.42578125" style="1" bestFit="1" customWidth="1"/>
    <col min="9729" max="9729" width="38.7109375" style="1" customWidth="1"/>
    <col min="9730" max="9981" width="8.85546875" style="1"/>
    <col min="9982" max="9982" width="3.7109375" style="1" customWidth="1"/>
    <col min="9983" max="9983" width="15.140625" style="1" customWidth="1"/>
    <col min="9984" max="9984" width="31.42578125" style="1" bestFit="1" customWidth="1"/>
    <col min="9985" max="9985" width="38.7109375" style="1" customWidth="1"/>
    <col min="9986" max="10237" width="8.85546875" style="1"/>
    <col min="10238" max="10238" width="3.7109375" style="1" customWidth="1"/>
    <col min="10239" max="10239" width="15.140625" style="1" customWidth="1"/>
    <col min="10240" max="10240" width="31.42578125" style="1" bestFit="1" customWidth="1"/>
    <col min="10241" max="10241" width="38.7109375" style="1" customWidth="1"/>
    <col min="10242" max="10493" width="8.85546875" style="1"/>
    <col min="10494" max="10494" width="3.7109375" style="1" customWidth="1"/>
    <col min="10495" max="10495" width="15.140625" style="1" customWidth="1"/>
    <col min="10496" max="10496" width="31.42578125" style="1" bestFit="1" customWidth="1"/>
    <col min="10497" max="10497" width="38.7109375" style="1" customWidth="1"/>
    <col min="10498" max="10749" width="8.85546875" style="1"/>
    <col min="10750" max="10750" width="3.7109375" style="1" customWidth="1"/>
    <col min="10751" max="10751" width="15.140625" style="1" customWidth="1"/>
    <col min="10752" max="10752" width="31.42578125" style="1" bestFit="1" customWidth="1"/>
    <col min="10753" max="10753" width="38.7109375" style="1" customWidth="1"/>
    <col min="10754" max="11005" width="8.85546875" style="1"/>
    <col min="11006" max="11006" width="3.7109375" style="1" customWidth="1"/>
    <col min="11007" max="11007" width="15.140625" style="1" customWidth="1"/>
    <col min="11008" max="11008" width="31.42578125" style="1" bestFit="1" customWidth="1"/>
    <col min="11009" max="11009" width="38.7109375" style="1" customWidth="1"/>
    <col min="11010" max="11261" width="8.85546875" style="1"/>
    <col min="11262" max="11262" width="3.7109375" style="1" customWidth="1"/>
    <col min="11263" max="11263" width="15.140625" style="1" customWidth="1"/>
    <col min="11264" max="11264" width="31.42578125" style="1" bestFit="1" customWidth="1"/>
    <col min="11265" max="11265" width="38.7109375" style="1" customWidth="1"/>
    <col min="11266" max="11517" width="8.85546875" style="1"/>
    <col min="11518" max="11518" width="3.7109375" style="1" customWidth="1"/>
    <col min="11519" max="11519" width="15.140625" style="1" customWidth="1"/>
    <col min="11520" max="11520" width="31.42578125" style="1" bestFit="1" customWidth="1"/>
    <col min="11521" max="11521" width="38.7109375" style="1" customWidth="1"/>
    <col min="11522" max="11773" width="8.85546875" style="1"/>
    <col min="11774" max="11774" width="3.7109375" style="1" customWidth="1"/>
    <col min="11775" max="11775" width="15.140625" style="1" customWidth="1"/>
    <col min="11776" max="11776" width="31.42578125" style="1" bestFit="1" customWidth="1"/>
    <col min="11777" max="11777" width="38.7109375" style="1" customWidth="1"/>
    <col min="11778" max="12029" width="8.85546875" style="1"/>
    <col min="12030" max="12030" width="3.7109375" style="1" customWidth="1"/>
    <col min="12031" max="12031" width="15.140625" style="1" customWidth="1"/>
    <col min="12032" max="12032" width="31.42578125" style="1" bestFit="1" customWidth="1"/>
    <col min="12033" max="12033" width="38.7109375" style="1" customWidth="1"/>
    <col min="12034" max="12285" width="8.85546875" style="1"/>
    <col min="12286" max="12286" width="3.7109375" style="1" customWidth="1"/>
    <col min="12287" max="12287" width="15.140625" style="1" customWidth="1"/>
    <col min="12288" max="12288" width="31.42578125" style="1" bestFit="1" customWidth="1"/>
    <col min="12289" max="12289" width="38.7109375" style="1" customWidth="1"/>
    <col min="12290" max="12541" width="8.85546875" style="1"/>
    <col min="12542" max="12542" width="3.7109375" style="1" customWidth="1"/>
    <col min="12543" max="12543" width="15.140625" style="1" customWidth="1"/>
    <col min="12544" max="12544" width="31.42578125" style="1" bestFit="1" customWidth="1"/>
    <col min="12545" max="12545" width="38.7109375" style="1" customWidth="1"/>
    <col min="12546" max="12797" width="8.85546875" style="1"/>
    <col min="12798" max="12798" width="3.7109375" style="1" customWidth="1"/>
    <col min="12799" max="12799" width="15.140625" style="1" customWidth="1"/>
    <col min="12800" max="12800" width="31.42578125" style="1" bestFit="1" customWidth="1"/>
    <col min="12801" max="12801" width="38.7109375" style="1" customWidth="1"/>
    <col min="12802" max="13053" width="8.85546875" style="1"/>
    <col min="13054" max="13054" width="3.7109375" style="1" customWidth="1"/>
    <col min="13055" max="13055" width="15.140625" style="1" customWidth="1"/>
    <col min="13056" max="13056" width="31.42578125" style="1" bestFit="1" customWidth="1"/>
    <col min="13057" max="13057" width="38.7109375" style="1" customWidth="1"/>
    <col min="13058" max="13309" width="8.85546875" style="1"/>
    <col min="13310" max="13310" width="3.7109375" style="1" customWidth="1"/>
    <col min="13311" max="13311" width="15.140625" style="1" customWidth="1"/>
    <col min="13312" max="13312" width="31.42578125" style="1" bestFit="1" customWidth="1"/>
    <col min="13313" max="13313" width="38.7109375" style="1" customWidth="1"/>
    <col min="13314" max="13565" width="8.85546875" style="1"/>
    <col min="13566" max="13566" width="3.7109375" style="1" customWidth="1"/>
    <col min="13567" max="13567" width="15.140625" style="1" customWidth="1"/>
    <col min="13568" max="13568" width="31.42578125" style="1" bestFit="1" customWidth="1"/>
    <col min="13569" max="13569" width="38.7109375" style="1" customWidth="1"/>
    <col min="13570" max="13821" width="8.85546875" style="1"/>
    <col min="13822" max="13822" width="3.7109375" style="1" customWidth="1"/>
    <col min="13823" max="13823" width="15.140625" style="1" customWidth="1"/>
    <col min="13824" max="13824" width="31.42578125" style="1" bestFit="1" customWidth="1"/>
    <col min="13825" max="13825" width="38.7109375" style="1" customWidth="1"/>
    <col min="13826" max="14077" width="8.85546875" style="1"/>
    <col min="14078" max="14078" width="3.7109375" style="1" customWidth="1"/>
    <col min="14079" max="14079" width="15.140625" style="1" customWidth="1"/>
    <col min="14080" max="14080" width="31.42578125" style="1" bestFit="1" customWidth="1"/>
    <col min="14081" max="14081" width="38.7109375" style="1" customWidth="1"/>
    <col min="14082" max="14333" width="8.85546875" style="1"/>
    <col min="14334" max="14334" width="3.7109375" style="1" customWidth="1"/>
    <col min="14335" max="14335" width="15.140625" style="1" customWidth="1"/>
    <col min="14336" max="14336" width="31.42578125" style="1" bestFit="1" customWidth="1"/>
    <col min="14337" max="14337" width="38.7109375" style="1" customWidth="1"/>
    <col min="14338" max="14589" width="8.85546875" style="1"/>
    <col min="14590" max="14590" width="3.7109375" style="1" customWidth="1"/>
    <col min="14591" max="14591" width="15.140625" style="1" customWidth="1"/>
    <col min="14592" max="14592" width="31.42578125" style="1" bestFit="1" customWidth="1"/>
    <col min="14593" max="14593" width="38.7109375" style="1" customWidth="1"/>
    <col min="14594" max="14845" width="8.85546875" style="1"/>
    <col min="14846" max="14846" width="3.7109375" style="1" customWidth="1"/>
    <col min="14847" max="14847" width="15.140625" style="1" customWidth="1"/>
    <col min="14848" max="14848" width="31.42578125" style="1" bestFit="1" customWidth="1"/>
    <col min="14849" max="14849" width="38.7109375" style="1" customWidth="1"/>
    <col min="14850" max="15101" width="8.85546875" style="1"/>
    <col min="15102" max="15102" width="3.7109375" style="1" customWidth="1"/>
    <col min="15103" max="15103" width="15.140625" style="1" customWidth="1"/>
    <col min="15104" max="15104" width="31.42578125" style="1" bestFit="1" customWidth="1"/>
    <col min="15105" max="15105" width="38.7109375" style="1" customWidth="1"/>
    <col min="15106" max="15357" width="8.85546875" style="1"/>
    <col min="15358" max="15358" width="3.7109375" style="1" customWidth="1"/>
    <col min="15359" max="15359" width="15.140625" style="1" customWidth="1"/>
    <col min="15360" max="15360" width="31.42578125" style="1" bestFit="1" customWidth="1"/>
    <col min="15361" max="15361" width="38.7109375" style="1" customWidth="1"/>
    <col min="15362" max="15613" width="8.85546875" style="1"/>
    <col min="15614" max="15614" width="3.7109375" style="1" customWidth="1"/>
    <col min="15615" max="15615" width="15.140625" style="1" customWidth="1"/>
    <col min="15616" max="15616" width="31.42578125" style="1" bestFit="1" customWidth="1"/>
    <col min="15617" max="15617" width="38.7109375" style="1" customWidth="1"/>
    <col min="15618" max="15869" width="8.85546875" style="1"/>
    <col min="15870" max="15870" width="3.7109375" style="1" customWidth="1"/>
    <col min="15871" max="15871" width="15.140625" style="1" customWidth="1"/>
    <col min="15872" max="15872" width="31.42578125" style="1" bestFit="1" customWidth="1"/>
    <col min="15873" max="15873" width="38.7109375" style="1" customWidth="1"/>
    <col min="15874" max="16125" width="8.85546875" style="1"/>
    <col min="16126" max="16126" width="3.7109375" style="1" customWidth="1"/>
    <col min="16127" max="16127" width="15.140625" style="1" customWidth="1"/>
    <col min="16128" max="16128" width="31.42578125" style="1" bestFit="1" customWidth="1"/>
    <col min="16129" max="16129" width="38.7109375" style="1" customWidth="1"/>
    <col min="16130" max="16384" width="8.85546875" style="1"/>
  </cols>
  <sheetData>
    <row r="2" spans="1:4" x14ac:dyDescent="0.25">
      <c r="B2" s="11"/>
      <c r="D2" s="6"/>
    </row>
    <row r="3" spans="1:4" x14ac:dyDescent="0.25">
      <c r="B3" s="9"/>
      <c r="D3" s="3"/>
    </row>
    <row r="4" spans="1:4" ht="16.5" x14ac:dyDescent="0.25">
      <c r="B4" s="15"/>
      <c r="C4" s="16"/>
    </row>
    <row r="7" spans="1:4" ht="15.75" x14ac:dyDescent="0.25">
      <c r="B7" s="2"/>
      <c r="C7" s="2"/>
    </row>
    <row r="8" spans="1:4" ht="15.75" x14ac:dyDescent="0.25">
      <c r="A8" s="2"/>
      <c r="B8" s="1084" t="s">
        <v>2</v>
      </c>
      <c r="C8" s="1085" t="s">
        <v>2</v>
      </c>
      <c r="D8" s="1086"/>
    </row>
    <row r="9" spans="1:4" ht="15.75" x14ac:dyDescent="0.25">
      <c r="A9" s="2"/>
      <c r="B9" s="2"/>
      <c r="C9" s="2"/>
      <c r="D9" s="2"/>
    </row>
    <row r="10" spans="1:4" ht="18.75" x14ac:dyDescent="0.3">
      <c r="A10" s="2"/>
      <c r="B10" s="1082" t="s">
        <v>6</v>
      </c>
      <c r="C10" s="1082"/>
      <c r="D10" s="1082"/>
    </row>
    <row r="11" spans="1:4" ht="15.75" x14ac:dyDescent="0.25">
      <c r="A11" s="2"/>
      <c r="B11" s="2"/>
      <c r="C11" s="2"/>
      <c r="D11" s="2"/>
    </row>
    <row r="12" spans="1:4" ht="15.75" x14ac:dyDescent="0.25">
      <c r="A12" s="2"/>
      <c r="B12" s="1083" t="s">
        <v>7</v>
      </c>
      <c r="C12" s="1083"/>
      <c r="D12" s="1083"/>
    </row>
    <row r="13" spans="1:4" ht="15.75" x14ac:dyDescent="0.25">
      <c r="A13" s="2"/>
      <c r="B13" s="5" t="s">
        <v>0</v>
      </c>
      <c r="C13" s="4" t="s">
        <v>4</v>
      </c>
      <c r="D13" s="4" t="s">
        <v>3</v>
      </c>
    </row>
    <row r="14" spans="1:4" x14ac:dyDescent="0.25">
      <c r="B14" s="17">
        <v>1</v>
      </c>
      <c r="C14" s="13" t="s">
        <v>8</v>
      </c>
      <c r="D14" s="18" t="s">
        <v>9</v>
      </c>
    </row>
    <row r="15" spans="1:4" x14ac:dyDescent="0.25">
      <c r="B15" s="19">
        <v>2</v>
      </c>
      <c r="C15" s="13" t="s">
        <v>10</v>
      </c>
      <c r="D15" s="20" t="s">
        <v>11</v>
      </c>
    </row>
    <row r="16" spans="1:4" x14ac:dyDescent="0.25">
      <c r="B16" s="21">
        <v>3</v>
      </c>
      <c r="C16" s="13" t="s">
        <v>12</v>
      </c>
      <c r="D16" s="22" t="s">
        <v>13</v>
      </c>
    </row>
    <row r="17" spans="1:4" x14ac:dyDescent="0.25">
      <c r="B17" s="23">
        <v>4</v>
      </c>
      <c r="C17" s="13" t="s">
        <v>14</v>
      </c>
      <c r="D17" s="24" t="s">
        <v>15</v>
      </c>
    </row>
    <row r="18" spans="1:4" x14ac:dyDescent="0.25">
      <c r="B18" s="25">
        <v>5</v>
      </c>
      <c r="C18" s="13" t="s">
        <v>16</v>
      </c>
      <c r="D18" s="26" t="s">
        <v>17</v>
      </c>
    </row>
    <row r="19" spans="1:4" x14ac:dyDescent="0.25">
      <c r="B19" s="27">
        <v>6</v>
      </c>
      <c r="C19" s="13" t="s">
        <v>18</v>
      </c>
      <c r="D19" s="28" t="s">
        <v>19</v>
      </c>
    </row>
    <row r="20" spans="1:4" x14ac:dyDescent="0.25">
      <c r="B20" s="29">
        <v>7</v>
      </c>
      <c r="C20" s="13" t="s">
        <v>20</v>
      </c>
      <c r="D20" s="30" t="s">
        <v>21</v>
      </c>
    </row>
    <row r="21" spans="1:4" x14ac:dyDescent="0.25">
      <c r="B21" s="31">
        <v>8</v>
      </c>
      <c r="C21" s="13" t="s">
        <v>22</v>
      </c>
      <c r="D21" s="32" t="s">
        <v>23</v>
      </c>
    </row>
    <row r="22" spans="1:4" x14ac:dyDescent="0.25">
      <c r="B22" s="33">
        <v>9</v>
      </c>
      <c r="C22" s="13" t="s">
        <v>24</v>
      </c>
      <c r="D22" s="34" t="s">
        <v>25</v>
      </c>
    </row>
    <row r="24" spans="1:4" ht="15.75" x14ac:dyDescent="0.25">
      <c r="A24" s="2"/>
      <c r="B24" s="10" t="s">
        <v>1</v>
      </c>
      <c r="C24" s="7"/>
    </row>
    <row r="25" spans="1:4" ht="75" x14ac:dyDescent="0.25">
      <c r="B25" s="35" t="s">
        <v>26</v>
      </c>
    </row>
    <row r="26" spans="1:4" x14ac:dyDescent="0.25">
      <c r="A26" s="8"/>
      <c r="B26" s="8"/>
      <c r="C26" s="8"/>
      <c r="D26" s="8"/>
    </row>
    <row r="27" spans="1:4" ht="30" x14ac:dyDescent="0.25">
      <c r="A27" s="8"/>
      <c r="B27" s="8"/>
      <c r="C27" s="8"/>
      <c r="D27" s="8" t="s">
        <v>27</v>
      </c>
    </row>
    <row r="28" spans="1:4" x14ac:dyDescent="0.25">
      <c r="A28" s="8"/>
      <c r="B28" s="14" t="s">
        <v>28</v>
      </c>
      <c r="C28" s="14" t="s">
        <v>29</v>
      </c>
      <c r="D28" s="14" t="s">
        <v>30</v>
      </c>
    </row>
    <row r="29" spans="1:4" x14ac:dyDescent="0.25">
      <c r="A29" s="8"/>
      <c r="B29" s="8" t="s">
        <v>31</v>
      </c>
      <c r="C29" s="8" t="s">
        <v>31</v>
      </c>
      <c r="D29" s="8" t="s">
        <v>32</v>
      </c>
    </row>
    <row r="30" spans="1:4" x14ac:dyDescent="0.25">
      <c r="A30" s="8"/>
      <c r="B30" s="8"/>
      <c r="C30" s="8"/>
      <c r="D30" s="8"/>
    </row>
    <row r="31" spans="1:4" x14ac:dyDescent="0.25">
      <c r="A31" s="8"/>
      <c r="B31" s="8"/>
      <c r="C31" s="8"/>
      <c r="D31" s="8"/>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row r="36" spans="1:4" x14ac:dyDescent="0.25">
      <c r="A36" s="8"/>
      <c r="B36" s="8"/>
      <c r="C36" s="8"/>
      <c r="D36" s="8"/>
    </row>
    <row r="37" spans="1:4" x14ac:dyDescent="0.25">
      <c r="A37" s="8"/>
      <c r="B37" s="8"/>
      <c r="C37" s="8"/>
      <c r="D37" s="8"/>
    </row>
    <row r="38" spans="1:4" x14ac:dyDescent="0.25">
      <c r="A38" s="8"/>
      <c r="B38" s="8"/>
      <c r="C38" s="8"/>
      <c r="D38" s="8"/>
    </row>
    <row r="39" spans="1:4" x14ac:dyDescent="0.25">
      <c r="A39" s="8"/>
      <c r="B39" s="8"/>
      <c r="C39" s="8"/>
      <c r="D39" s="8"/>
    </row>
  </sheetData>
  <mergeCells count="3">
    <mergeCell ref="B10:D10"/>
    <mergeCell ref="B12:D12"/>
    <mergeCell ref="B8:D8"/>
  </mergeCells>
  <hyperlinks>
    <hyperlink ref="D14" location="'I_06H01'!A1" display="I_06H01"/>
    <hyperlink ref="D15" location="'II_06H02'!A1" display="II_06H02"/>
    <hyperlink ref="D16" location="'III_06H03'!A1" display="III_06H03"/>
    <hyperlink ref="D17" location="'IV_06H04'!A1" display="IV_06H04"/>
    <hyperlink ref="D18" location="'V_06H05'!A1" display="V_06H05"/>
    <hyperlink ref="D19" location="'X_06H09'!A1" display="X_06H09"/>
    <hyperlink ref="D20" location="'VI_06H06'!A1" display="VI_06H06"/>
    <hyperlink ref="D21" location="'VII_06H07'!A1" display="VII_06H07"/>
    <hyperlink ref="D22" location="'VIII_06H08'!A1" display="VIII_06H08"/>
  </hyperlink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10"/>
  <sheetViews>
    <sheetView workbookViewId="0"/>
  </sheetViews>
  <sheetFormatPr defaultRowHeight="15" x14ac:dyDescent="0.25"/>
  <cols>
    <col min="1" max="1" width="1" style="464" bestFit="1" customWidth="1"/>
    <col min="2" max="9" width="1" bestFit="1" customWidth="1"/>
  </cols>
  <sheetData>
    <row r="5" spans="1:9" x14ac:dyDescent="0.25">
      <c r="A5" t="str">
        <f>CONCATENATE(671946,",",ROW(IV_06H04!A5),"|",COLUMN(IV_06H04!A5),",0",",0")</f>
        <v>671946,5|1,0,0</v>
      </c>
      <c r="B5" t="str">
        <f>CONCATENATE(671952,",",ROW(IV_06H04!B5),"|",COLUMN(IV_06H04!B5),",0",",0")</f>
        <v>671952,5|2,0,0</v>
      </c>
      <c r="C5" t="str">
        <f>CONCATENATE(671919,",",ROW(IV_06H04!C5),"|",COLUMN(IV_06H04!C5),",0",",0")</f>
        <v>671919,5|3,0,0</v>
      </c>
      <c r="D5" t="str">
        <f>CONCATENATE(671937,",",ROW(IV_06H04!D5),"|",COLUMN(IV_06H04!D5),",0",",0")</f>
        <v>671937,5|4,0,0</v>
      </c>
      <c r="E5" t="str">
        <f>CONCATENATE(671925,",",ROW(IV_06H04!E5),"|",COLUMN(IV_06H04!E5),",0",",0")</f>
        <v>671925,5|5,0,0</v>
      </c>
      <c r="F5" t="str">
        <f>CONCATENATE(671914,",",ROW(IV_06H04!F5),"|",COLUMN(IV_06H04!F5),",0",",0")</f>
        <v>671914,5|6,0,0</v>
      </c>
      <c r="G5" t="str">
        <f>CONCATENATE(671943,",",ROW(IV_06H04!G5),"|",COLUMN(IV_06H04!G5),",0",",0")</f>
        <v>671943,5|7,0,0</v>
      </c>
      <c r="H5" t="str">
        <f>CONCATENATE(671961,",",ROW(IV_06H04!H5),"|",COLUMN(IV_06H04!H5),",0",",0")</f>
        <v>671961,5|8,0,0</v>
      </c>
      <c r="I5" t="str">
        <f>CONCATENATE(671931,",",ROW(IV_06H04!I5),"|",COLUMN(IV_06H04!I5),",0",",0")</f>
        <v>671931,5|9,0,0</v>
      </c>
    </row>
    <row r="6" spans="1:9" x14ac:dyDescent="0.25">
      <c r="A6" t="str">
        <f>CONCATENATE(671947,",",ROW(IV_06H04!A6),"|",COLUMN(IV_06H04!A6),",0",",0")</f>
        <v>671947,6|1,0,0</v>
      </c>
      <c r="B6" t="str">
        <f>CONCATENATE(671953,",",ROW(IV_06H04!B6),"|",COLUMN(IV_06H04!B6),",0",",0")</f>
        <v>671953,6|2,0,0</v>
      </c>
      <c r="C6" t="str">
        <f>CONCATENATE(671916,",",ROW(IV_06H04!C6),"|",COLUMN(IV_06H04!C6),",0",",0")</f>
        <v>671916,6|3,0,0</v>
      </c>
      <c r="D6" t="str">
        <f>CONCATENATE(671933,",",ROW(IV_06H04!D6),"|",COLUMN(IV_06H04!D6),",0",",0")</f>
        <v>671933,6|4,0,0</v>
      </c>
      <c r="E6" t="str">
        <f>CONCATENATE(671921,",",ROW(IV_06H04!E6),"|",COLUMN(IV_06H04!E6),",0",",0")</f>
        <v>671921,6|5,0,0</v>
      </c>
      <c r="F6" t="str">
        <f>CONCATENATE(671963,",",ROW(IV_06H04!F6),"|",COLUMN(IV_06H04!F6),",0",",0")</f>
        <v>671963,6|6,0,0</v>
      </c>
      <c r="G6" t="str">
        <f>CONCATENATE(671939,",",ROW(IV_06H04!G6),"|",COLUMN(IV_06H04!G6),",0",",0")</f>
        <v>671939,6|7,0,0</v>
      </c>
      <c r="H6" t="str">
        <f>CONCATENATE(671957,",",ROW(IV_06H04!H6),"|",COLUMN(IV_06H04!H6),",0",",0")</f>
        <v>671957,6|8,0,0</v>
      </c>
      <c r="I6" t="str">
        <f>CONCATENATE(671927,",",ROW(IV_06H04!I6),"|",COLUMN(IV_06H04!I6),",0",",0")</f>
        <v>671927,6|9,0,0</v>
      </c>
    </row>
    <row r="7" spans="1:9" x14ac:dyDescent="0.25">
      <c r="A7" t="str">
        <f>CONCATENATE(671948,",",ROW(IV_06H04!A7),"|",COLUMN(IV_06H04!A7),",0",",0")</f>
        <v>671948,7|1,0,0</v>
      </c>
      <c r="B7" t="str">
        <f>CONCATENATE(671945,",",ROW(IV_06H04!B7),"|",COLUMN(IV_06H04!B7),",0",",0")</f>
        <v>671945,7|2,0,0</v>
      </c>
      <c r="C7" t="str">
        <f>CONCATENATE(671917,",",ROW(IV_06H04!C7),"|",COLUMN(IV_06H04!C7),",0",",0")</f>
        <v>671917,7|3,0,0</v>
      </c>
      <c r="D7" t="str">
        <f>CONCATENATE(671934,",",ROW(IV_06H04!D7),"|",COLUMN(IV_06H04!D7),",0",",0")</f>
        <v>671934,7|4,0,0</v>
      </c>
      <c r="E7" t="str">
        <f>CONCATENATE(671922,",",ROW(IV_06H04!E7),"|",COLUMN(IV_06H04!E7),",0",",0")</f>
        <v>671922,7|5,0,0</v>
      </c>
      <c r="F7" t="str">
        <f>CONCATENATE(671964,",",ROW(IV_06H04!F7),"|",COLUMN(IV_06H04!F7),",0",",0")</f>
        <v>671964,7|6,0,0</v>
      </c>
      <c r="G7" t="str">
        <f>CONCATENATE(671940,",",ROW(IV_06H04!G7),"|",COLUMN(IV_06H04!G7),",0",",0")</f>
        <v>671940,7|7,0,0</v>
      </c>
      <c r="H7" t="str">
        <f>CONCATENATE(671958,",",ROW(IV_06H04!H7),"|",COLUMN(IV_06H04!H7),",0",",0")</f>
        <v>671958,7|8,0,0</v>
      </c>
      <c r="I7" t="str">
        <f>CONCATENATE(671928,",",ROW(IV_06H04!I7),"|",COLUMN(IV_06H04!I7),",0",",0")</f>
        <v>671928,7|9,0,0</v>
      </c>
    </row>
    <row r="8" spans="1:9" x14ac:dyDescent="0.25">
      <c r="A8" t="str">
        <f>CONCATENATE(671949,",",ROW(IV_06H04!A8),"|",COLUMN(IV_06H04!A8),",0",",0")</f>
        <v>671949,8|1,0,0</v>
      </c>
      <c r="B8" t="str">
        <f>CONCATENATE(671954,",",ROW(IV_06H04!B8),"|",COLUMN(IV_06H04!B8),",0",",0")</f>
        <v>671954,8|2,0,0</v>
      </c>
      <c r="C8" t="str">
        <f>CONCATENATE(671911,",",ROW(IV_06H04!C8),"|",COLUMN(IV_06H04!C8),",0",",0")</f>
        <v>671911,8|3,0,0</v>
      </c>
      <c r="D8" t="str">
        <f>CONCATENATE(671935,",",ROW(IV_06H04!D8),"|",COLUMN(IV_06H04!D8),",0",",0")</f>
        <v>671935,8|4,0,0</v>
      </c>
      <c r="E8" t="str">
        <f>CONCATENATE(671923,",",ROW(IV_06H04!E8),"|",COLUMN(IV_06H04!E8),",0",",0")</f>
        <v>671923,8|5,0,0</v>
      </c>
      <c r="F8" t="str">
        <f>CONCATENATE(671912,",",ROW(IV_06H04!F8),"|",COLUMN(IV_06H04!F8),",0",",0")</f>
        <v>671912,8|6,0,0</v>
      </c>
      <c r="G8" t="str">
        <f>CONCATENATE(671941,",",ROW(IV_06H04!G8),"|",COLUMN(IV_06H04!G8),",0",",0")</f>
        <v>671941,8|7,0,0</v>
      </c>
      <c r="H8" t="str">
        <f>CONCATENATE(671959,",",ROW(IV_06H04!H8),"|",COLUMN(IV_06H04!H8),",0",",0")</f>
        <v>671959,8|8,0,0</v>
      </c>
      <c r="I8" t="str">
        <f>CONCATENATE(671929,",",ROW(IV_06H04!I8),"|",COLUMN(IV_06H04!I8),",0",",0")</f>
        <v>671929,8|9,0,0</v>
      </c>
    </row>
    <row r="9" spans="1:9" x14ac:dyDescent="0.25">
      <c r="A9" t="str">
        <f>CONCATENATE(671950,",",ROW(IV_06H04!A9),"|",COLUMN(IV_06H04!A9),",0",",0")</f>
        <v>671950,9|1,0,0</v>
      </c>
      <c r="B9" t="str">
        <f>CONCATENATE(671955,",",ROW(IV_06H04!B9),"|",COLUMN(IV_06H04!B9),",0",",0")</f>
        <v>671955,9|2,0,0</v>
      </c>
      <c r="C9" t="str">
        <f>CONCATENATE(671918,",",ROW(IV_06H04!C9),"|",COLUMN(IV_06H04!C9),",0",",0")</f>
        <v>671918,9|3,0,0</v>
      </c>
      <c r="D9" t="str">
        <f>CONCATENATE(671936,",",ROW(IV_06H04!D9),"|",COLUMN(IV_06H04!D9),",0",",0")</f>
        <v>671936,9|4,0,0</v>
      </c>
      <c r="E9" t="str">
        <f>CONCATENATE(671924,",",ROW(IV_06H04!E9),"|",COLUMN(IV_06H04!E9),",0",",0")</f>
        <v>671924,9|5,0,0</v>
      </c>
      <c r="F9" t="str">
        <f>CONCATENATE(671913,",",ROW(IV_06H04!F9),"|",COLUMN(IV_06H04!F9),",0",",0")</f>
        <v>671913,9|6,0,0</v>
      </c>
      <c r="G9" t="str">
        <f>CONCATENATE(671942,",",ROW(IV_06H04!G9),"|",COLUMN(IV_06H04!G9),",0",",0")</f>
        <v>671942,9|7,0,0</v>
      </c>
      <c r="H9" t="str">
        <f>CONCATENATE(671960,",",ROW(IV_06H04!H9),"|",COLUMN(IV_06H04!H9),",0",",0")</f>
        <v>671960,9|8,0,0</v>
      </c>
      <c r="I9" t="str">
        <f>CONCATENATE(671930,",",ROW(IV_06H04!I9),"|",COLUMN(IV_06H04!I9),",0",",0")</f>
        <v>671930,9|9,0,0</v>
      </c>
    </row>
    <row r="10" spans="1:9" x14ac:dyDescent="0.25">
      <c r="A10" t="str">
        <f>CONCATENATE(671951,",",ROW(IV_06H04!A10),"|",COLUMN(IV_06H04!A10),",0",",0")</f>
        <v>671951,10|1,0,0</v>
      </c>
      <c r="B10" t="str">
        <f>CONCATENATE(671956,",",ROW(IV_06H04!B10),"|",COLUMN(IV_06H04!B10),",0",",0")</f>
        <v>671956,10|2,0,0</v>
      </c>
      <c r="C10" t="str">
        <f>CONCATENATE(671920,",",ROW(IV_06H04!C10),"|",COLUMN(IV_06H04!C10),",0",",0")</f>
        <v>671920,10|3,0,0</v>
      </c>
      <c r="D10" t="str">
        <f>CONCATENATE(671938,",",ROW(IV_06H04!D10),"|",COLUMN(IV_06H04!D10),",0",",0")</f>
        <v>671938,10|4,0,0</v>
      </c>
      <c r="E10" t="str">
        <f>CONCATENATE(671926,",",ROW(IV_06H04!E10),"|",COLUMN(IV_06H04!E10),",0",",0")</f>
        <v>671926,10|5,0,0</v>
      </c>
      <c r="F10" t="str">
        <f>CONCATENATE(671915,",",ROW(IV_06H04!F10),"|",COLUMN(IV_06H04!F10),",0",",0")</f>
        <v>671915,10|6,0,0</v>
      </c>
      <c r="G10" t="str">
        <f>CONCATENATE(671944,",",ROW(IV_06H04!G10),"|",COLUMN(IV_06H04!G10),",0",",0")</f>
        <v>671944,10|7,0,0</v>
      </c>
      <c r="H10" t="str">
        <f>CONCATENATE(671962,",",ROW(IV_06H04!H10),"|",COLUMN(IV_06H04!H10),",0",",0")</f>
        <v>671962,10|8,0,0</v>
      </c>
      <c r="I10" t="str">
        <f>CONCATENATE(671932,",",ROW(IV_06H04!I10),"|",COLUMN(IV_06H04!I10),",0",",0")</f>
        <v>671932,10|9,0,0</v>
      </c>
    </row>
  </sheetData>
  <sheetProtection password="CB7D"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8" sqref="E8"/>
    </sheetView>
  </sheetViews>
  <sheetFormatPr defaultRowHeight="15" x14ac:dyDescent="0.25"/>
  <cols>
    <col min="1" max="1" width="18.85546875" bestFit="1" customWidth="1"/>
    <col min="2" max="2" width="31.28515625" bestFit="1" customWidth="1"/>
    <col min="3" max="3" width="20.85546875" bestFit="1" customWidth="1"/>
    <col min="4" max="5" width="20.42578125" bestFit="1" customWidth="1"/>
  </cols>
  <sheetData>
    <row r="1" spans="1:5" ht="20.25" x14ac:dyDescent="0.3">
      <c r="A1" s="1108" t="s">
        <v>16</v>
      </c>
      <c r="B1" s="1108" t="s">
        <v>5</v>
      </c>
      <c r="C1" s="1108" t="s">
        <v>5</v>
      </c>
      <c r="D1" s="1108" t="s">
        <v>5</v>
      </c>
      <c r="E1" s="1108" t="s">
        <v>5</v>
      </c>
    </row>
    <row r="2" spans="1:5" ht="18.75" x14ac:dyDescent="0.3">
      <c r="A2" s="1109" t="s">
        <v>37</v>
      </c>
      <c r="B2" s="1109" t="s">
        <v>5</v>
      </c>
      <c r="C2" s="1109" t="s">
        <v>5</v>
      </c>
      <c r="D2" s="1109" t="s">
        <v>5</v>
      </c>
      <c r="E2" s="1109" t="s">
        <v>5</v>
      </c>
    </row>
    <row r="3" spans="1:5" ht="18.75" x14ac:dyDescent="0.25">
      <c r="A3" s="465" t="s">
        <v>0</v>
      </c>
      <c r="B3" s="465" t="s">
        <v>306</v>
      </c>
      <c r="C3" s="465" t="s">
        <v>181</v>
      </c>
      <c r="D3" s="465" t="s">
        <v>183</v>
      </c>
      <c r="E3" s="465" t="s">
        <v>180</v>
      </c>
    </row>
    <row r="4" spans="1:5" ht="66" x14ac:dyDescent="0.25">
      <c r="A4" s="473" t="s">
        <v>82</v>
      </c>
      <c r="B4" s="477" t="s">
        <v>309</v>
      </c>
      <c r="C4" s="467" t="s">
        <v>125</v>
      </c>
      <c r="D4" s="486"/>
      <c r="E4" s="485" t="s">
        <v>5</v>
      </c>
    </row>
    <row r="5" spans="1:5" ht="66" x14ac:dyDescent="0.25">
      <c r="A5" s="474" t="s">
        <v>62</v>
      </c>
      <c r="B5" s="478" t="s">
        <v>310</v>
      </c>
      <c r="C5" s="468" t="s">
        <v>308</v>
      </c>
      <c r="D5" s="471"/>
      <c r="E5" s="483" t="s">
        <v>5</v>
      </c>
    </row>
    <row r="6" spans="1:5" ht="66" x14ac:dyDescent="0.25">
      <c r="A6" s="475" t="s">
        <v>46</v>
      </c>
      <c r="B6" s="481" t="s">
        <v>313</v>
      </c>
      <c r="C6" s="466" t="s">
        <v>307</v>
      </c>
      <c r="D6" s="472"/>
      <c r="E6" s="484" t="s">
        <v>5</v>
      </c>
    </row>
    <row r="7" spans="1:5" ht="49.5" x14ac:dyDescent="0.25">
      <c r="A7" s="476" t="s">
        <v>51</v>
      </c>
      <c r="B7" s="479" t="s">
        <v>311</v>
      </c>
      <c r="C7" s="469" t="s">
        <v>221</v>
      </c>
      <c r="D7" s="1048">
        <v>4137288301</v>
      </c>
      <c r="E7" s="1049">
        <v>4137288301</v>
      </c>
    </row>
    <row r="8" spans="1:5" ht="33" x14ac:dyDescent="0.25">
      <c r="A8" s="482"/>
      <c r="B8" s="480" t="s">
        <v>312</v>
      </c>
      <c r="C8" s="470"/>
      <c r="D8" s="1050"/>
      <c r="E8" s="1051">
        <v>4137288301</v>
      </c>
    </row>
  </sheetData>
  <mergeCells count="2">
    <mergeCell ref="A1:E1"/>
    <mergeCell ref="A2: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8"/>
  <sheetViews>
    <sheetView workbookViewId="0"/>
  </sheetViews>
  <sheetFormatPr defaultRowHeight="15" x14ac:dyDescent="0.25"/>
  <cols>
    <col min="1" max="1" width="1" style="487" bestFit="1" customWidth="1"/>
    <col min="2" max="5" width="1" bestFit="1" customWidth="1"/>
  </cols>
  <sheetData>
    <row r="4" spans="1:5" x14ac:dyDescent="0.25">
      <c r="A4" t="str">
        <f>CONCATENATE(671974,",",ROW(V_06H05!A4),"|",COLUMN(V_06H05!A4),",0",",0")</f>
        <v>671974,4|1,0,0</v>
      </c>
      <c r="B4" t="str">
        <f>CONCATENATE(671978,",",ROW(V_06H05!B4),"|",COLUMN(V_06H05!B4),",0",",0")</f>
        <v>671978,4|2,0,0</v>
      </c>
      <c r="C4" t="str">
        <f>CONCATENATE(671966,",",ROW(V_06H05!C4),"|",COLUMN(V_06H05!C4),",0",",0")</f>
        <v>671966,4|3,0,0</v>
      </c>
      <c r="D4" t="str">
        <f>CONCATENATE(671989,",",ROW(V_06H05!D4),"|",COLUMN(V_06H05!D4),",0",",0")</f>
        <v>671989,4|4,0,0</v>
      </c>
      <c r="E4" t="str">
        <f>CONCATENATE(671988,",",ROW(V_06H05!E4),"|",COLUMN(V_06H05!E4),",0",",0")</f>
        <v>671988,4|5,0,0</v>
      </c>
    </row>
    <row r="5" spans="1:5" x14ac:dyDescent="0.25">
      <c r="A5" t="str">
        <f>CONCATENATE(671975,",",ROW(V_06H05!A5),"|",COLUMN(V_06H05!A5),",0",",0")</f>
        <v>671975,5|1,0,0</v>
      </c>
      <c r="B5" t="str">
        <f>CONCATENATE(671979,",",ROW(V_06H05!B5),"|",COLUMN(V_06H05!B5),",0",",0")</f>
        <v>671979,5|2,0,0</v>
      </c>
      <c r="C5" t="str">
        <f>CONCATENATE(671967,",",ROW(V_06H05!C5),"|",COLUMN(V_06H05!C5),",0",",0")</f>
        <v>671967,5|3,0,0</v>
      </c>
      <c r="D5" t="str">
        <f>CONCATENATE(671971,",",ROW(V_06H05!D5),"|",COLUMN(V_06H05!D5),",0",",0")</f>
        <v>671971,5|4,0,0</v>
      </c>
      <c r="E5" t="str">
        <f>CONCATENATE(671984,",",ROW(V_06H05!E5),"|",COLUMN(V_06H05!E5),",0",",0")</f>
        <v>671984,5|5,0,0</v>
      </c>
    </row>
    <row r="6" spans="1:5" x14ac:dyDescent="0.25">
      <c r="A6" t="str">
        <f>CONCATENATE(671976,",",ROW(V_06H05!A6),"|",COLUMN(V_06H05!A6),",0",",0")</f>
        <v>671976,6|1,0,0</v>
      </c>
      <c r="B6" t="str">
        <f>CONCATENATE(671982,",",ROW(V_06H05!B6),"|",COLUMN(V_06H05!B6),",0",",0")</f>
        <v>671982,6|2,0,0</v>
      </c>
      <c r="C6" t="str">
        <f>CONCATENATE(671965,",",ROW(V_06H05!C6),"|",COLUMN(V_06H05!C6),",0",",0")</f>
        <v>671965,6|3,0,0</v>
      </c>
      <c r="D6" t="str">
        <f>CONCATENATE(671972,",",ROW(V_06H05!D6),"|",COLUMN(V_06H05!D6),",0",",0")</f>
        <v>671972,6|4,0,0</v>
      </c>
      <c r="E6" t="str">
        <f>CONCATENATE(671985,",",ROW(V_06H05!E6),"|",COLUMN(V_06H05!E6),",0",",0")</f>
        <v>671985,6|5,0,0</v>
      </c>
    </row>
    <row r="7" spans="1:5" x14ac:dyDescent="0.25">
      <c r="A7" t="str">
        <f>CONCATENATE(671977,",",ROW(V_06H05!A7),"|",COLUMN(V_06H05!A7),",0",",0")</f>
        <v>671977,7|1,0,0</v>
      </c>
      <c r="B7" t="str">
        <f>CONCATENATE(671980,",",ROW(V_06H05!B7),"|",COLUMN(V_06H05!B7),",0",",0")</f>
        <v>671980,7|2,0,0</v>
      </c>
      <c r="C7" t="str">
        <f>CONCATENATE(671968,",",ROW(V_06H05!C7),"|",COLUMN(V_06H05!C7),",0",",0")</f>
        <v>671968,7|3,0,0</v>
      </c>
      <c r="D7" t="str">
        <f>CONCATENATE(671973,",",ROW(V_06H05!D7),"|",COLUMN(V_06H05!D7),",0",",0")</f>
        <v>671973,7|4,0,0</v>
      </c>
      <c r="E7" t="str">
        <f>CONCATENATE(671986,",",ROW(V_06H05!E7),"|",COLUMN(V_06H05!E7),",0",",0")</f>
        <v>671986,7|5,0,0</v>
      </c>
    </row>
    <row r="8" spans="1:5" x14ac:dyDescent="0.25">
      <c r="A8" t="str">
        <f>CONCATENATE(671983,",",ROW(V_06H05!A8),"|",COLUMN(V_06H05!A8),",0",",0")</f>
        <v>671983,8|1,0,0</v>
      </c>
      <c r="B8" t="str">
        <f>CONCATENATE(671981,",",ROW(V_06H05!B8),"|",COLUMN(V_06H05!B8),",0",",0")</f>
        <v>671981,8|2,0,0</v>
      </c>
      <c r="C8" t="str">
        <f>CONCATENATE(671969,",",ROW(V_06H05!C8),"|",COLUMN(V_06H05!C8),",0",",0")</f>
        <v>671969,8|3,0,0</v>
      </c>
      <c r="D8" t="str">
        <f>CONCATENATE(671970,",",ROW(V_06H05!D8),"|",COLUMN(V_06H05!D8),",0",",0")</f>
        <v>671970,8|4,0,0</v>
      </c>
      <c r="E8" t="str">
        <f>CONCATENATE(671987,",",ROW(V_06H05!E8),"|",COLUMN(V_06H05!E8),",0",",0")</f>
        <v>671987,8|5,0,0</v>
      </c>
    </row>
  </sheetData>
  <sheetProtection password="CB7D"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5"/>
  <sheetViews>
    <sheetView topLeftCell="A7" workbookViewId="0">
      <selection sqref="A1:E1"/>
    </sheetView>
  </sheetViews>
  <sheetFormatPr defaultRowHeight="15" x14ac:dyDescent="0.25"/>
  <cols>
    <col min="1" max="1" width="25.42578125" bestFit="1" customWidth="1"/>
    <col min="2" max="2" width="31.28515625" bestFit="1" customWidth="1"/>
    <col min="3" max="5" width="25.42578125" bestFit="1" customWidth="1"/>
  </cols>
  <sheetData>
    <row r="1" spans="1:5" ht="20.25" x14ac:dyDescent="0.3">
      <c r="A1" s="1110" t="s">
        <v>18</v>
      </c>
      <c r="B1" s="1110" t="s">
        <v>5</v>
      </c>
      <c r="C1" s="1110" t="s">
        <v>5</v>
      </c>
      <c r="D1" s="1110" t="s">
        <v>5</v>
      </c>
      <c r="E1" s="1110" t="s">
        <v>5</v>
      </c>
    </row>
    <row r="2" spans="1:5" ht="37.5" x14ac:dyDescent="0.25">
      <c r="A2" s="489" t="s">
        <v>314</v>
      </c>
      <c r="B2" s="489" t="s">
        <v>315</v>
      </c>
      <c r="C2" s="489" t="s">
        <v>181</v>
      </c>
      <c r="D2" s="489" t="s">
        <v>183</v>
      </c>
      <c r="E2" s="489" t="s">
        <v>180</v>
      </c>
    </row>
    <row r="3" spans="1:5" ht="280.5" x14ac:dyDescent="0.25">
      <c r="A3" s="520" t="s">
        <v>82</v>
      </c>
      <c r="B3" s="534" t="s">
        <v>329</v>
      </c>
      <c r="C3" s="521" t="s">
        <v>5</v>
      </c>
      <c r="D3" s="522" t="s">
        <v>5</v>
      </c>
      <c r="E3" s="523" t="s">
        <v>5</v>
      </c>
    </row>
    <row r="4" spans="1:5" ht="16.5" x14ac:dyDescent="0.25">
      <c r="A4" s="488" t="s">
        <v>176</v>
      </c>
      <c r="B4" s="488" t="s">
        <v>5</v>
      </c>
      <c r="C4" s="488" t="s">
        <v>5</v>
      </c>
      <c r="D4" s="488" t="s">
        <v>5</v>
      </c>
      <c r="E4" s="488" t="s">
        <v>5</v>
      </c>
    </row>
    <row r="5" spans="1:5" ht="82.5" x14ac:dyDescent="0.25">
      <c r="A5" s="501" t="s">
        <v>83</v>
      </c>
      <c r="B5" s="533" t="s">
        <v>328</v>
      </c>
      <c r="C5" s="499" t="s">
        <v>320</v>
      </c>
      <c r="D5" s="515" t="s">
        <v>5</v>
      </c>
      <c r="E5" s="504" t="s">
        <v>5</v>
      </c>
    </row>
    <row r="6" spans="1:5" ht="16.5" x14ac:dyDescent="0.25">
      <c r="A6" s="488" t="s">
        <v>176</v>
      </c>
      <c r="B6" s="488" t="s">
        <v>5</v>
      </c>
      <c r="C6" s="488" t="s">
        <v>5</v>
      </c>
      <c r="D6" s="488" t="s">
        <v>5</v>
      </c>
      <c r="E6" s="488" t="s">
        <v>5</v>
      </c>
    </row>
    <row r="7" spans="1:5" ht="66" x14ac:dyDescent="0.25">
      <c r="A7" s="529" t="s">
        <v>90</v>
      </c>
      <c r="B7" s="490" t="s">
        <v>316</v>
      </c>
      <c r="C7" s="503" t="s">
        <v>320</v>
      </c>
      <c r="D7" s="530" t="s">
        <v>5</v>
      </c>
      <c r="E7" s="512" t="s">
        <v>5</v>
      </c>
    </row>
    <row r="8" spans="1:5" ht="16.5" x14ac:dyDescent="0.25">
      <c r="A8" s="488" t="s">
        <v>176</v>
      </c>
      <c r="B8" s="488" t="s">
        <v>5</v>
      </c>
      <c r="C8" s="488" t="s">
        <v>5</v>
      </c>
      <c r="D8" s="488" t="s">
        <v>5</v>
      </c>
      <c r="E8" s="488" t="s">
        <v>5</v>
      </c>
    </row>
    <row r="9" spans="1:5" ht="33" x14ac:dyDescent="0.25">
      <c r="A9" s="532" t="s">
        <v>91</v>
      </c>
      <c r="B9" s="507" t="s">
        <v>322</v>
      </c>
      <c r="C9" s="491" t="s">
        <v>221</v>
      </c>
      <c r="D9" s="494" t="s">
        <v>5</v>
      </c>
      <c r="E9" s="517" t="s">
        <v>5</v>
      </c>
    </row>
    <row r="10" spans="1:5" ht="16.5" x14ac:dyDescent="0.25">
      <c r="A10" s="488" t="s">
        <v>176</v>
      </c>
      <c r="B10" s="488" t="s">
        <v>5</v>
      </c>
      <c r="C10" s="488" t="s">
        <v>5</v>
      </c>
      <c r="D10" s="488" t="s">
        <v>5</v>
      </c>
      <c r="E10" s="488" t="s">
        <v>5</v>
      </c>
    </row>
    <row r="11" spans="1:5" ht="33" x14ac:dyDescent="0.25">
      <c r="A11" s="502" t="s">
        <v>321</v>
      </c>
      <c r="B11" s="508" t="s">
        <v>323</v>
      </c>
      <c r="C11" s="510"/>
      <c r="D11" s="496" t="s">
        <v>5</v>
      </c>
      <c r="E11" s="531" t="s">
        <v>5</v>
      </c>
    </row>
    <row r="12" spans="1:5" ht="49.5" x14ac:dyDescent="0.25">
      <c r="A12" s="497" t="s">
        <v>318</v>
      </c>
      <c r="B12" s="498" t="s">
        <v>319</v>
      </c>
      <c r="C12" s="492" t="s">
        <v>108</v>
      </c>
      <c r="D12" s="528" t="s">
        <v>5</v>
      </c>
      <c r="E12" s="505" t="s">
        <v>5</v>
      </c>
    </row>
    <row r="13" spans="1:5" ht="49.5" x14ac:dyDescent="0.25">
      <c r="A13" s="495" t="s">
        <v>317</v>
      </c>
      <c r="B13" s="514" t="s">
        <v>326</v>
      </c>
      <c r="C13" s="493" t="s">
        <v>216</v>
      </c>
      <c r="D13" s="511" t="s">
        <v>5</v>
      </c>
      <c r="E13" s="506" t="s">
        <v>5</v>
      </c>
    </row>
    <row r="14" spans="1:5" ht="49.5" x14ac:dyDescent="0.25">
      <c r="A14" s="513" t="s">
        <v>325</v>
      </c>
      <c r="B14" s="509" t="s">
        <v>324</v>
      </c>
      <c r="C14" s="500" t="s">
        <v>221</v>
      </c>
      <c r="D14" s="516" t="s">
        <v>5</v>
      </c>
      <c r="E14" s="518" t="s">
        <v>5</v>
      </c>
    </row>
    <row r="15" spans="1:5" ht="33" x14ac:dyDescent="0.25">
      <c r="A15" s="519"/>
      <c r="B15" s="524" t="s">
        <v>327</v>
      </c>
      <c r="C15" s="527"/>
      <c r="D15" s="526"/>
      <c r="E15" s="525" t="s">
        <v>5</v>
      </c>
    </row>
  </sheetData>
  <mergeCells count="1">
    <mergeCell ref="A1:E1"/>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1"/>
  <sheetViews>
    <sheetView workbookViewId="0"/>
  </sheetViews>
  <sheetFormatPr defaultRowHeight="15" x14ac:dyDescent="0.25"/>
  <cols>
    <col min="1" max="1" width="1" style="535" bestFit="1" customWidth="1"/>
    <col min="2" max="5" width="1" bestFit="1" customWidth="1"/>
  </cols>
  <sheetData>
    <row r="3" spans="1:5" x14ac:dyDescent="0.25">
      <c r="A3" t="str">
        <f>CONCATENATE(671567,",",ROW(X_06H09!A3),"|",COLUMN(X_06H09!A3),",1",",0")</f>
        <v>671567,3|1,1,0</v>
      </c>
      <c r="B3" t="str">
        <f>CONCATENATE(671581,",",ROW(X_06H09!B3),"|",COLUMN(X_06H09!B3),",1",",0")</f>
        <v>671581,3|2,1,0</v>
      </c>
      <c r="C3" t="str">
        <f>CONCATENATE(671568,",",ROW(X_06H09!C3),"|",COLUMN(X_06H09!C3),",1",",0")</f>
        <v>671568,3|3,1,0</v>
      </c>
      <c r="D3" t="str">
        <f>CONCATENATE(671569,",",ROW(X_06H09!D3),"|",COLUMN(X_06H09!D3),",1",",0")</f>
        <v>671569,3|4,1,0</v>
      </c>
      <c r="E3" t="str">
        <f>CONCATENATE(671570,",",ROW(X_06H09!E3),"|",COLUMN(X_06H09!E3),",1",",0")</f>
        <v>671570,3|5,1,0</v>
      </c>
    </row>
    <row r="4" spans="1:5" x14ac:dyDescent="0.25">
      <c r="A4" t="str">
        <f>CONCATENATE(671548,",",ROW(X_06H09!A5),"|",COLUMN(X_06H09!A5),",1",",0")</f>
        <v>671548,5|1,1,0</v>
      </c>
      <c r="B4" t="str">
        <f>CONCATENATE(671580,",",ROW(X_06H09!B5),"|",COLUMN(X_06H09!B5),",1",",0")</f>
        <v>671580,5|2,1,0</v>
      </c>
      <c r="C4" t="str">
        <f>CONCATENATE(671546,",",ROW(X_06H09!C5),"|",COLUMN(X_06H09!C5),",1",",0")</f>
        <v>671546,5|3,1,0</v>
      </c>
      <c r="D4" t="str">
        <f>CONCATENATE(671562,",",ROW(X_06H09!D5),"|",COLUMN(X_06H09!D5),",1",",0")</f>
        <v>671562,5|4,1,0</v>
      </c>
      <c r="E4" t="str">
        <f>CONCATENATE(671551,",",ROW(X_06H09!E5),"|",COLUMN(X_06H09!E5),",1",",0")</f>
        <v>671551,5|5,1,0</v>
      </c>
    </row>
    <row r="5" spans="1:5" x14ac:dyDescent="0.25">
      <c r="A5" t="str">
        <f>CONCATENATE(671576,",",ROW(X_06H09!A7),"|",COLUMN(X_06H09!A7),",1",",0")</f>
        <v>671576,7|1,1,0</v>
      </c>
      <c r="B5" t="str">
        <f>CONCATENATE(671537,",",ROW(X_06H09!B7),"|",COLUMN(X_06H09!B7),",1",",0")</f>
        <v>671537,7|2,1,0</v>
      </c>
      <c r="C5" t="str">
        <f>CONCATENATE(671550,",",ROW(X_06H09!C7),"|",COLUMN(X_06H09!C7),",1",",0")</f>
        <v>671550,7|3,1,0</v>
      </c>
      <c r="D5" t="str">
        <f>CONCATENATE(671577,",",ROW(X_06H09!D7),"|",COLUMN(X_06H09!D7),",1",",0")</f>
        <v>671577,7|4,1,0</v>
      </c>
      <c r="E5" t="str">
        <f>CONCATENATE(671559,",",ROW(X_06H09!E7),"|",COLUMN(X_06H09!E7),",1",",0")</f>
        <v>671559,7|5,1,0</v>
      </c>
    </row>
    <row r="6" spans="1:5" x14ac:dyDescent="0.25">
      <c r="A6" t="str">
        <f>CONCATENATE(671579,",",ROW(X_06H09!A9),"|",COLUMN(X_06H09!A9),",1",",0")</f>
        <v>671579,9|1,1,0</v>
      </c>
      <c r="B6" t="str">
        <f>CONCATENATE(671554,",",ROW(X_06H09!B9),"|",COLUMN(X_06H09!B9),",1",",0")</f>
        <v>671554,9|2,1,0</v>
      </c>
      <c r="C6" t="str">
        <f>CONCATENATE(671538,",",ROW(X_06H09!C9),"|",COLUMN(X_06H09!C9),",1",",0")</f>
        <v>671538,9|3,1,0</v>
      </c>
      <c r="D6" t="str">
        <f>CONCATENATE(671541,",",ROW(X_06H09!D9),"|",COLUMN(X_06H09!D9),",1",",0")</f>
        <v>671541,9|4,1,0</v>
      </c>
      <c r="E6" t="str">
        <f>CONCATENATE(671564,",",ROW(X_06H09!E9),"|",COLUMN(X_06H09!E9),",1",",0")</f>
        <v>671564,9|5,1,0</v>
      </c>
    </row>
    <row r="7" spans="1:5" x14ac:dyDescent="0.25">
      <c r="A7" t="str">
        <f>CONCATENATE(671549,",",ROW(X_06H09!A11),"|",COLUMN(X_06H09!A11),",0",",0")</f>
        <v>671549,11|1,0,0</v>
      </c>
      <c r="B7" t="str">
        <f>CONCATENATE(671555,",",ROW(X_06H09!B11),"|",COLUMN(X_06H09!B11),",0",",0")</f>
        <v>671555,11|2,0,0</v>
      </c>
      <c r="C7" t="str">
        <f>CONCATENATE(671557,",",ROW(X_06H09!C11),"|",COLUMN(X_06H09!C11),",0",",0")</f>
        <v>671557,11|3,0,0</v>
      </c>
      <c r="D7" t="str">
        <f>CONCATENATE(671543,",",ROW(X_06H09!D11),"|",COLUMN(X_06H09!D11),",0",",0")</f>
        <v>671543,11|4,0,0</v>
      </c>
      <c r="E7" t="str">
        <f>CONCATENATE(671578,",",ROW(X_06H09!E11),"|",COLUMN(X_06H09!E11),",0",",0")</f>
        <v>671578,11|5,0,0</v>
      </c>
    </row>
    <row r="8" spans="1:5" x14ac:dyDescent="0.25">
      <c r="A8" t="str">
        <f>CONCATENATE(671544,",",ROW(X_06H09!A12),"|",COLUMN(X_06H09!A12),",0",",0")</f>
        <v>671544,12|1,0,0</v>
      </c>
      <c r="B8" t="str">
        <f>CONCATENATE(671545,",",ROW(X_06H09!B12),"|",COLUMN(X_06H09!B12),",0",",0")</f>
        <v>671545,12|2,0,0</v>
      </c>
      <c r="C8" t="str">
        <f>CONCATENATE(671539,",",ROW(X_06H09!C12),"|",COLUMN(X_06H09!C12),",0",",0")</f>
        <v>671539,12|3,0,0</v>
      </c>
      <c r="D8" t="str">
        <f>CONCATENATE(671575,",",ROW(X_06H09!D12),"|",COLUMN(X_06H09!D12),",0",",0")</f>
        <v>671575,12|4,0,0</v>
      </c>
      <c r="E8" t="str">
        <f>CONCATENATE(671552,",",ROW(X_06H09!E12),"|",COLUMN(X_06H09!E12),",0",",0")</f>
        <v>671552,12|5,0,0</v>
      </c>
    </row>
    <row r="9" spans="1:5" x14ac:dyDescent="0.25">
      <c r="A9" t="str">
        <f>CONCATENATE(671542,",",ROW(X_06H09!A13),"|",COLUMN(X_06H09!A13),",0",",0")</f>
        <v>671542,13|1,0,0</v>
      </c>
      <c r="B9" t="str">
        <f>CONCATENATE(671561,",",ROW(X_06H09!B13),"|",COLUMN(X_06H09!B13),",0",",0")</f>
        <v>671561,13|2,0,0</v>
      </c>
      <c r="C9" t="str">
        <f>CONCATENATE(671540,",",ROW(X_06H09!C13),"|",COLUMN(X_06H09!C13),",0",",0")</f>
        <v>671540,13|3,0,0</v>
      </c>
      <c r="D9" t="str">
        <f>CONCATENATE(671558,",",ROW(X_06H09!D13),"|",COLUMN(X_06H09!D13),",0",",0")</f>
        <v>671558,13|4,0,0</v>
      </c>
      <c r="E9" t="str">
        <f>CONCATENATE(671553,",",ROW(X_06H09!E13),"|",COLUMN(X_06H09!E13),",0",",0")</f>
        <v>671553,13|5,0,0</v>
      </c>
    </row>
    <row r="10" spans="1:5" x14ac:dyDescent="0.25">
      <c r="A10" t="str">
        <f>CONCATENATE(671560,",",ROW(X_06H09!A14),"|",COLUMN(X_06H09!A14),",0",",0")</f>
        <v>671560,14|1,0,0</v>
      </c>
      <c r="B10" t="str">
        <f>CONCATENATE(671556,",",ROW(X_06H09!B14),"|",COLUMN(X_06H09!B14),",0",",0")</f>
        <v>671556,14|2,0,0</v>
      </c>
      <c r="C10" t="str">
        <f>CONCATENATE(671547,",",ROW(X_06H09!C14),"|",COLUMN(X_06H09!C14),",0",",0")</f>
        <v>671547,14|3,0,0</v>
      </c>
      <c r="D10" t="str">
        <f>CONCATENATE(671563,",",ROW(X_06H09!D14),"|",COLUMN(X_06H09!D14),",0",",0")</f>
        <v>671563,14|4,0,0</v>
      </c>
      <c r="E10" t="str">
        <f>CONCATENATE(671565,",",ROW(X_06H09!E14),"|",COLUMN(X_06H09!E14),",0",",0")</f>
        <v>671565,14|5,0,0</v>
      </c>
    </row>
    <row r="11" spans="1:5" x14ac:dyDescent="0.25">
      <c r="A11" t="str">
        <f>CONCATENATE(671566,",",ROW(X_06H09!A15),"|",COLUMN(X_06H09!A15),",0",",0")</f>
        <v>671566,15|1,0,0</v>
      </c>
      <c r="B11" t="str">
        <f>CONCATENATE(671571,",",ROW(X_06H09!B15),"|",COLUMN(X_06H09!B15),",0",",0")</f>
        <v>671571,15|2,0,0</v>
      </c>
      <c r="C11" t="str">
        <f>CONCATENATE(671574,",",ROW(X_06H09!C15),"|",COLUMN(X_06H09!C15),",0",",0")</f>
        <v>671574,15|3,0,0</v>
      </c>
      <c r="D11" t="str">
        <f>CONCATENATE(671573,",",ROW(X_06H09!D15),"|",COLUMN(X_06H09!D15),",0",",0")</f>
        <v>671573,15|4,0,0</v>
      </c>
      <c r="E11" t="str">
        <f>CONCATENATE(671572,",",ROW(X_06H09!E15),"|",COLUMN(X_06H09!E15),",0",",0")</f>
        <v>671572,15|5,0,0</v>
      </c>
    </row>
  </sheetData>
  <sheetProtection password="CB7D"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6"/>
  <sheetViews>
    <sheetView workbookViewId="0">
      <selection activeCell="C5" sqref="C5"/>
    </sheetView>
  </sheetViews>
  <sheetFormatPr defaultRowHeight="15" x14ac:dyDescent="0.25"/>
  <cols>
    <col min="1" max="1" width="15" bestFit="1" customWidth="1"/>
    <col min="2" max="2" width="31.28515625" bestFit="1" customWidth="1"/>
    <col min="3" max="3" width="20.85546875" bestFit="1" customWidth="1"/>
    <col min="4" max="4" width="23.140625" bestFit="1" customWidth="1"/>
    <col min="5" max="5" width="20.42578125" bestFit="1" customWidth="1"/>
  </cols>
  <sheetData>
    <row r="1" spans="1:5" ht="20.25" x14ac:dyDescent="0.3">
      <c r="A1" s="1111" t="s">
        <v>20</v>
      </c>
      <c r="B1" s="1111" t="s">
        <v>5</v>
      </c>
      <c r="C1" s="1111" t="s">
        <v>5</v>
      </c>
      <c r="D1" s="1111" t="s">
        <v>5</v>
      </c>
      <c r="E1" s="1111" t="s">
        <v>5</v>
      </c>
    </row>
    <row r="2" spans="1:5" ht="18.75" x14ac:dyDescent="0.3">
      <c r="A2" s="1112" t="s">
        <v>37</v>
      </c>
      <c r="B2" s="1112" t="s">
        <v>5</v>
      </c>
      <c r="C2" s="1112" t="s">
        <v>5</v>
      </c>
      <c r="D2" s="1112" t="s">
        <v>5</v>
      </c>
      <c r="E2" s="1112" t="s">
        <v>5</v>
      </c>
    </row>
    <row r="3" spans="1:5" ht="18.75" x14ac:dyDescent="0.25">
      <c r="A3" s="537" t="s">
        <v>0</v>
      </c>
      <c r="B3" s="537" t="s">
        <v>330</v>
      </c>
      <c r="C3" s="537" t="s">
        <v>181</v>
      </c>
      <c r="D3" s="537" t="s">
        <v>183</v>
      </c>
      <c r="E3" s="537" t="s">
        <v>180</v>
      </c>
    </row>
    <row r="4" spans="1:5" ht="33" x14ac:dyDescent="0.25">
      <c r="A4" s="538">
        <v>1</v>
      </c>
      <c r="B4" s="37" t="s">
        <v>362</v>
      </c>
      <c r="C4" s="541">
        <v>10</v>
      </c>
      <c r="D4" s="1079">
        <v>417552077493</v>
      </c>
      <c r="E4" s="1080">
        <v>2505312465</v>
      </c>
    </row>
    <row r="5" spans="1:5" ht="16.5" x14ac:dyDescent="0.25">
      <c r="A5" s="536" t="s">
        <v>176</v>
      </c>
      <c r="B5" s="536" t="s">
        <v>5</v>
      </c>
      <c r="C5" s="536" t="s">
        <v>5</v>
      </c>
      <c r="D5" s="536" t="s">
        <v>5</v>
      </c>
      <c r="E5" s="536" t="s">
        <v>5</v>
      </c>
    </row>
    <row r="6" spans="1:5" ht="49.5" x14ac:dyDescent="0.25">
      <c r="A6" s="544"/>
      <c r="B6" s="542" t="s">
        <v>331</v>
      </c>
      <c r="C6" s="540"/>
      <c r="D6" s="539"/>
      <c r="E6" s="543"/>
    </row>
  </sheetData>
  <mergeCells count="2">
    <mergeCell ref="A1:E1"/>
    <mergeCell ref="A2:E2"/>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5"/>
  <sheetViews>
    <sheetView workbookViewId="0"/>
  </sheetViews>
  <sheetFormatPr defaultRowHeight="15" x14ac:dyDescent="0.25"/>
  <cols>
    <col min="1" max="1" width="1" style="545" bestFit="1" customWidth="1"/>
    <col min="2" max="5" width="1" bestFit="1" customWidth="1"/>
  </cols>
  <sheetData>
    <row r="4" spans="1:5" x14ac:dyDescent="0.25">
      <c r="A4" t="str">
        <f>CONCATENATE(671597,",",ROW(VI_06H06!A4),"|",COLUMN(VI_06H06!A4),",1",",0")</f>
        <v>671597,4|1,1,0</v>
      </c>
      <c r="B4" t="str">
        <f>CONCATENATE(671603,",",ROW(VI_06H06!B4),"|",COLUMN(VI_06H06!B4),",1",",0")</f>
        <v>671603,4|2,1,0</v>
      </c>
      <c r="C4" t="str">
        <f>CONCATENATE(671601,",",ROW(VI_06H06!C4),"|",COLUMN(VI_06H06!C4),",1",",0")</f>
        <v>671601,4|3,1,0</v>
      </c>
      <c r="D4" t="str">
        <f>CONCATENATE(671599,",",ROW(VI_06H06!D4),"|",COLUMN(VI_06H06!D4),",1",",0")</f>
        <v>671599,4|4,1,0</v>
      </c>
      <c r="E4" t="str">
        <f>CONCATENATE(671606,",",ROW(VI_06H06!E4),"|",COLUMN(VI_06H06!E4),",1",",0")</f>
        <v>671606,4|5,1,0</v>
      </c>
    </row>
    <row r="5" spans="1:5" x14ac:dyDescent="0.25">
      <c r="A5" t="str">
        <f>CONCATENATE(671607,",",ROW(VI_06H06!A6),"|",COLUMN(VI_06H06!A6),",0",",0")</f>
        <v>671607,6|1,0,0</v>
      </c>
      <c r="B5" t="str">
        <f>CONCATENATE(671604,",",ROW(VI_06H06!B6),"|",COLUMN(VI_06H06!B6),",0",",0")</f>
        <v>671604,6|2,0,0</v>
      </c>
      <c r="C5" t="str">
        <f>CONCATENATE(671600,",",ROW(VI_06H06!C6),"|",COLUMN(VI_06H06!C6),",0",",0")</f>
        <v>671600,6|3,0,0</v>
      </c>
      <c r="D5" t="str">
        <f>CONCATENATE(671598,",",ROW(VI_06H06!D6),"|",COLUMN(VI_06H06!D6),",0",",0")</f>
        <v>671598,6|4,0,0</v>
      </c>
      <c r="E5" t="str">
        <f>CONCATENATE(671605,",",ROW(VI_06H06!E6),"|",COLUMN(VI_06H06!E6),",0",",0")</f>
        <v>671605,6|5,0,0</v>
      </c>
    </row>
  </sheetData>
  <sheetProtection password="CB7D"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10" workbookViewId="0">
      <selection activeCell="C22" sqref="C22"/>
    </sheetView>
  </sheetViews>
  <sheetFormatPr defaultRowHeight="15" x14ac:dyDescent="0.25"/>
  <cols>
    <col min="1" max="1" width="15.85546875" bestFit="1" customWidth="1"/>
    <col min="2" max="2" width="45" customWidth="1"/>
    <col min="3" max="3" width="35.28515625" customWidth="1"/>
  </cols>
  <sheetData>
    <row r="1" spans="1:3" ht="20.25" x14ac:dyDescent="0.3">
      <c r="A1" s="1113" t="s">
        <v>22</v>
      </c>
      <c r="B1" s="1113" t="s">
        <v>5</v>
      </c>
      <c r="C1" s="1113" t="s">
        <v>5</v>
      </c>
    </row>
    <row r="2" spans="1:3" ht="18.75" x14ac:dyDescent="0.3">
      <c r="A2" s="1114" t="s">
        <v>184</v>
      </c>
      <c r="B2" s="1114" t="s">
        <v>5</v>
      </c>
      <c r="C2" s="1114" t="s">
        <v>5</v>
      </c>
    </row>
    <row r="3" spans="1:3" ht="18.75" x14ac:dyDescent="0.25">
      <c r="A3" s="546" t="s">
        <v>0</v>
      </c>
      <c r="B3" s="546" t="s">
        <v>285</v>
      </c>
      <c r="C3" s="546" t="s">
        <v>332</v>
      </c>
    </row>
    <row r="4" spans="1:3" ht="16.5" x14ac:dyDescent="0.25">
      <c r="A4" s="550" t="s">
        <v>143</v>
      </c>
      <c r="B4" s="551" t="s">
        <v>335</v>
      </c>
      <c r="C4" s="559" t="s">
        <v>5</v>
      </c>
    </row>
    <row r="5" spans="1:3" ht="66" x14ac:dyDescent="0.25">
      <c r="A5" s="564" t="s">
        <v>144</v>
      </c>
      <c r="B5" s="552" t="s">
        <v>336</v>
      </c>
      <c r="C5" s="1052">
        <v>410366414181</v>
      </c>
    </row>
    <row r="6" spans="1:3" ht="33" x14ac:dyDescent="0.25">
      <c r="A6" s="565" t="s">
        <v>81</v>
      </c>
      <c r="B6" s="562" t="s">
        <v>341</v>
      </c>
      <c r="C6" s="1053">
        <v>209906515466</v>
      </c>
    </row>
    <row r="7" spans="1:3" ht="16.5" x14ac:dyDescent="0.25">
      <c r="A7" s="566" t="s">
        <v>82</v>
      </c>
      <c r="B7" s="553" t="s">
        <v>337</v>
      </c>
      <c r="C7" s="1054">
        <v>4792145040</v>
      </c>
    </row>
    <row r="8" spans="1:3" ht="49.5" x14ac:dyDescent="0.25">
      <c r="A8" s="567" t="s">
        <v>62</v>
      </c>
      <c r="B8" s="576" t="s">
        <v>348</v>
      </c>
      <c r="C8" s="1055">
        <v>708795600</v>
      </c>
    </row>
    <row r="9" spans="1:3" ht="49.5" x14ac:dyDescent="0.25">
      <c r="A9" s="568" t="s">
        <v>46</v>
      </c>
      <c r="B9" s="570" t="s">
        <v>343</v>
      </c>
      <c r="C9" s="1056">
        <v>0</v>
      </c>
    </row>
    <row r="10" spans="1:3" ht="49.5" x14ac:dyDescent="0.25">
      <c r="A10" s="569" t="s">
        <v>51</v>
      </c>
      <c r="B10" s="571" t="s">
        <v>344</v>
      </c>
      <c r="C10" s="1057">
        <v>142500000</v>
      </c>
    </row>
    <row r="11" spans="1:3" ht="49.5" x14ac:dyDescent="0.25">
      <c r="A11" s="549" t="s">
        <v>52</v>
      </c>
      <c r="B11" s="572" t="s">
        <v>345</v>
      </c>
      <c r="C11" s="1058">
        <v>0</v>
      </c>
    </row>
    <row r="12" spans="1:3" ht="49.5" x14ac:dyDescent="0.25">
      <c r="A12" s="577" t="s">
        <v>54</v>
      </c>
      <c r="B12" s="581" t="s">
        <v>349</v>
      </c>
      <c r="C12" s="1059">
        <v>54464035845</v>
      </c>
    </row>
    <row r="13" spans="1:3" ht="16.5" x14ac:dyDescent="0.25">
      <c r="A13" s="575" t="s">
        <v>55</v>
      </c>
      <c r="B13" s="574" t="s">
        <v>347</v>
      </c>
      <c r="C13" s="1060">
        <v>149799038981</v>
      </c>
    </row>
    <row r="14" spans="1:3" ht="33" x14ac:dyDescent="0.25">
      <c r="A14" s="556" t="s">
        <v>108</v>
      </c>
      <c r="B14" s="573" t="s">
        <v>346</v>
      </c>
      <c r="C14" s="1061"/>
    </row>
    <row r="15" spans="1:3" ht="33" x14ac:dyDescent="0.25">
      <c r="A15" s="554" t="s">
        <v>137</v>
      </c>
      <c r="B15" s="557" t="s">
        <v>339</v>
      </c>
      <c r="C15" s="1062"/>
    </row>
    <row r="16" spans="1:3" ht="49.5" x14ac:dyDescent="0.25">
      <c r="A16" s="558" t="s">
        <v>64</v>
      </c>
      <c r="B16" s="555" t="s">
        <v>338</v>
      </c>
      <c r="C16" s="1063"/>
    </row>
    <row r="17" spans="1:3" ht="49.5" x14ac:dyDescent="0.25">
      <c r="A17" s="578" t="s">
        <v>132</v>
      </c>
      <c r="B17" s="548" t="s">
        <v>334</v>
      </c>
      <c r="C17" s="1064">
        <v>200459898715</v>
      </c>
    </row>
    <row r="18" spans="1:3" ht="49.5" x14ac:dyDescent="0.25">
      <c r="A18" s="579" t="s">
        <v>133</v>
      </c>
      <c r="B18" s="561" t="s">
        <v>340</v>
      </c>
      <c r="C18" s="1065">
        <v>50114974679</v>
      </c>
    </row>
    <row r="19" spans="1:3" ht="49.5" x14ac:dyDescent="0.25">
      <c r="A19" s="580" t="s">
        <v>134</v>
      </c>
      <c r="B19" s="563" t="s">
        <v>342</v>
      </c>
      <c r="C19" s="1066">
        <v>50000000000</v>
      </c>
    </row>
    <row r="20" spans="1:3" ht="49.5" x14ac:dyDescent="0.25">
      <c r="A20" s="560"/>
      <c r="B20" s="547" t="s">
        <v>333</v>
      </c>
      <c r="C20" s="1067">
        <v>50114974679</v>
      </c>
    </row>
  </sheetData>
  <mergeCells count="2">
    <mergeCell ref="A1:C1"/>
    <mergeCell ref="A2:C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workbookViewId="0"/>
  </sheetViews>
  <sheetFormatPr defaultRowHeight="15" x14ac:dyDescent="0.25"/>
  <cols>
    <col min="1" max="1" width="1" style="582" bestFit="1" customWidth="1"/>
    <col min="2" max="3" width="1" bestFit="1" customWidth="1"/>
  </cols>
  <sheetData>
    <row r="4" spans="1:3" x14ac:dyDescent="0.25">
      <c r="A4" t="str">
        <f>CONCATENATE(671993,",",ROW(VII_06H07!A4),"|",COLUMN(VII_06H07!A4),",0",",0")</f>
        <v>671993,4|1,0,0</v>
      </c>
      <c r="B4" t="str">
        <f>CONCATENATE(671994,",",ROW(VII_06H07!B4),"|",COLUMN(VII_06H07!B4),",0",",0")</f>
        <v>671994,4|2,0,0</v>
      </c>
      <c r="C4" t="str">
        <f>CONCATENATE(672009,",",ROW(VII_06H07!C4),"|",COLUMN(VII_06H07!C4),",0",",0")</f>
        <v>672009,4|3,0,0</v>
      </c>
    </row>
    <row r="5" spans="1:3" x14ac:dyDescent="0.25">
      <c r="A5" t="str">
        <f>CONCATENATE(672014,",",ROW(VII_06H07!A5),"|",COLUMN(VII_06H07!A5),",0",",0")</f>
        <v>672014,5|1,0,0</v>
      </c>
      <c r="B5" t="str">
        <f>CONCATENATE(671995,",",ROW(VII_06H07!B5),"|",COLUMN(VII_06H07!B5),",0",",0")</f>
        <v>671995,5|2,0,0</v>
      </c>
      <c r="C5" t="str">
        <f>CONCATENATE(672036,",",ROW(VII_06H07!C5),"|",COLUMN(VII_06H07!C5),",0",",0")</f>
        <v>672036,5|3,0,0</v>
      </c>
    </row>
    <row r="6" spans="1:3" x14ac:dyDescent="0.25">
      <c r="A6" t="str">
        <f>CONCATENATE(672015,",",ROW(VII_06H07!A6),"|",COLUMN(VII_06H07!A6),",0",",0")</f>
        <v>672015,6|1,0,0</v>
      </c>
      <c r="B6" t="str">
        <f>CONCATENATE(672012,",",ROW(VII_06H07!B6),"|",COLUMN(VII_06H07!B6),",0",",0")</f>
        <v>672012,6|2,0,0</v>
      </c>
      <c r="C6" t="str">
        <f>CONCATENATE(672033,",",ROW(VII_06H07!C6),"|",COLUMN(VII_06H07!C6),",0",",0")</f>
        <v>672033,6|3,0,0</v>
      </c>
    </row>
    <row r="7" spans="1:3" x14ac:dyDescent="0.25">
      <c r="A7" t="str">
        <f>CONCATENATE(672016,",",ROW(VII_06H07!A7),"|",COLUMN(VII_06H07!A7),",0",",0")</f>
        <v>672016,7|1,0,0</v>
      </c>
      <c r="B7" t="str">
        <f>CONCATENATE(671996,",",ROW(VII_06H07!B7),"|",COLUMN(VII_06H07!B7),",0",",0")</f>
        <v>671996,7|2,0,0</v>
      </c>
      <c r="C7" t="str">
        <f>CONCATENATE(672037,",",ROW(VII_06H07!C7),"|",COLUMN(VII_06H07!C7),",0",",0")</f>
        <v>672037,7|3,0,0</v>
      </c>
    </row>
    <row r="8" spans="1:3" x14ac:dyDescent="0.25">
      <c r="A8" t="str">
        <f>CONCATENATE(672017,",",ROW(VII_06H07!A8),"|",COLUMN(VII_06H07!A8),",0",",0")</f>
        <v>672017,8|1,0,0</v>
      </c>
      <c r="B8" t="str">
        <f>CONCATENATE(672027,",",ROW(VII_06H07!B8),"|",COLUMN(VII_06H07!B8),",0",",0")</f>
        <v>672027,8|2,0,0</v>
      </c>
      <c r="C8" t="str">
        <f>CONCATENATE(672038,",",ROW(VII_06H07!C8),"|",COLUMN(VII_06H07!C8),",0",",0")</f>
        <v>672038,8|3,0,0</v>
      </c>
    </row>
    <row r="9" spans="1:3" x14ac:dyDescent="0.25">
      <c r="A9" t="str">
        <f>CONCATENATE(672018,",",ROW(VII_06H07!A9),"|",COLUMN(VII_06H07!A9),",0",",0")</f>
        <v>672018,9|1,0,0</v>
      </c>
      <c r="B9" t="str">
        <f>CONCATENATE(672020,",",ROW(VII_06H07!B9),"|",COLUMN(VII_06H07!B9),",0",",0")</f>
        <v>672020,9|2,0,0</v>
      </c>
      <c r="C9" t="str">
        <f>CONCATENATE(672039,",",ROW(VII_06H07!C9),"|",COLUMN(VII_06H07!C9),",0",",0")</f>
        <v>672039,9|3,0,0</v>
      </c>
    </row>
    <row r="10" spans="1:3" x14ac:dyDescent="0.25">
      <c r="A10" t="str">
        <f>CONCATENATE(672019,",",ROW(VII_06H07!A10),"|",COLUMN(VII_06H07!A10),",0",",0")</f>
        <v>672019,10|1,0,0</v>
      </c>
      <c r="B10" t="str">
        <f>CONCATENATE(672021,",",ROW(VII_06H07!B10),"|",COLUMN(VII_06H07!B10),",0",",0")</f>
        <v>672021,10|2,0,0</v>
      </c>
      <c r="C10" t="str">
        <f>CONCATENATE(672005,",",ROW(VII_06H07!C10),"|",COLUMN(VII_06H07!C10),",0",",0")</f>
        <v>672005,10|3,0,0</v>
      </c>
    </row>
    <row r="11" spans="1:3" x14ac:dyDescent="0.25">
      <c r="A11" t="str">
        <f>CONCATENATE(671992,",",ROW(VII_06H07!A11),"|",COLUMN(VII_06H07!A11),",0",",0")</f>
        <v>671992,11|1,0,0</v>
      </c>
      <c r="B11" t="str">
        <f>CONCATENATE(672022,",",ROW(VII_06H07!B11),"|",COLUMN(VII_06H07!B11),",0",",0")</f>
        <v>672022,11|2,0,0</v>
      </c>
      <c r="C11" t="str">
        <f>CONCATENATE(672006,",",ROW(VII_06H07!C11),"|",COLUMN(VII_06H07!C11),",0",",0")</f>
        <v>672006,11|3,0,0</v>
      </c>
    </row>
    <row r="12" spans="1:3" x14ac:dyDescent="0.25">
      <c r="A12" t="str">
        <f>CONCATENATE(672028,",",ROW(VII_06H07!A12),"|",COLUMN(VII_06H07!A12),",0",",0")</f>
        <v>672028,12|1,0,0</v>
      </c>
      <c r="B12" t="str">
        <f>CONCATENATE(672040,",",ROW(VII_06H07!B12),"|",COLUMN(VII_06H07!B12),",0",",0")</f>
        <v>672040,12|2,0,0</v>
      </c>
      <c r="C12" t="str">
        <f>CONCATENATE(672007,",",ROW(VII_06H07!C12),"|",COLUMN(VII_06H07!C12),",0",",0")</f>
        <v>672007,12|3,0,0</v>
      </c>
    </row>
    <row r="13" spans="1:3" x14ac:dyDescent="0.25">
      <c r="A13" t="str">
        <f>CONCATENATE(672025,",",ROW(VII_06H07!A13),"|",COLUMN(VII_06H07!A13),",0",",0")</f>
        <v>672025,13|1,0,0</v>
      </c>
      <c r="B13" t="str">
        <f>CONCATENATE(672024,",",ROW(VII_06H07!B13),"|",COLUMN(VII_06H07!B13),",0",",0")</f>
        <v>672024,13|2,0,0</v>
      </c>
      <c r="C13" t="str">
        <f>CONCATENATE(672026,",",ROW(VII_06H07!C13),"|",COLUMN(VII_06H07!C13),",0",",0")</f>
        <v>672026,13|3,0,0</v>
      </c>
    </row>
    <row r="14" spans="1:3" x14ac:dyDescent="0.25">
      <c r="A14" t="str">
        <f>CONCATENATE(672000,",",ROW(VII_06H07!A14),"|",COLUMN(VII_06H07!A14),",0",",0")</f>
        <v>672000,14|1,0,0</v>
      </c>
      <c r="B14" t="str">
        <f>CONCATENATE(672023,",",ROW(VII_06H07!B14),"|",COLUMN(VII_06H07!B14),",0",",0")</f>
        <v>672023,14|2,0,0</v>
      </c>
      <c r="C14" t="str">
        <f>CONCATENATE(671999,",",ROW(VII_06H07!C14),"|",COLUMN(VII_06H07!C14),",0",",0")</f>
        <v>671999,14|3,0,0</v>
      </c>
    </row>
    <row r="15" spans="1:3" x14ac:dyDescent="0.25">
      <c r="A15" t="str">
        <f>CONCATENATE(671997,",",ROW(VII_06H07!A15),"|",COLUMN(VII_06H07!A15),",0",",0")</f>
        <v>671997,15|1,0,0</v>
      </c>
      <c r="B15" t="str">
        <f>CONCATENATE(672001,",",ROW(VII_06H07!B15),"|",COLUMN(VII_06H07!B15),",0",",0")</f>
        <v>672001,15|2,0,0</v>
      </c>
      <c r="C15" t="str">
        <f>CONCATENATE(672002,",",ROW(VII_06H07!C15),"|",COLUMN(VII_06H07!C15),",0",",0")</f>
        <v>672002,15|3,0,0</v>
      </c>
    </row>
    <row r="16" spans="1:3" x14ac:dyDescent="0.25">
      <c r="A16" t="str">
        <f>CONCATENATE(672004,",",ROW(VII_06H07!A16),"|",COLUMN(VII_06H07!A16),",0",",0")</f>
        <v>672004,16|1,0,0</v>
      </c>
      <c r="B16" t="str">
        <f>CONCATENATE(671998,",",ROW(VII_06H07!B16),"|",COLUMN(VII_06H07!B16),",0",",0")</f>
        <v>671998,16|2,0,0</v>
      </c>
      <c r="C16" t="str">
        <f>CONCATENATE(672003,",",ROW(VII_06H07!C16),"|",COLUMN(VII_06H07!C16),",0",",0")</f>
        <v>672003,16|3,0,0</v>
      </c>
    </row>
    <row r="17" spans="1:3" x14ac:dyDescent="0.25">
      <c r="A17" t="str">
        <f>CONCATENATE(672029,",",ROW(VII_06H07!A17),"|",COLUMN(VII_06H07!A17),",0",",0")</f>
        <v>672029,17|1,0,0</v>
      </c>
      <c r="B17" t="str">
        <f>CONCATENATE(671991,",",ROW(VII_06H07!B17),"|",COLUMN(VII_06H07!B17),",0",",0")</f>
        <v>671991,17|2,0,0</v>
      </c>
      <c r="C17" t="str">
        <f>CONCATENATE(672008,",",ROW(VII_06H07!C17),"|",COLUMN(VII_06H07!C17),",0",",0")</f>
        <v>672008,17|3,0,0</v>
      </c>
    </row>
    <row r="18" spans="1:3" x14ac:dyDescent="0.25">
      <c r="A18" t="str">
        <f>CONCATENATE(672030,",",ROW(VII_06H07!A18),"|",COLUMN(VII_06H07!A18),",0",",0")</f>
        <v>672030,18|1,0,0</v>
      </c>
      <c r="B18" t="str">
        <f>CONCATENATE(672011,",",ROW(VII_06H07!B18),"|",COLUMN(VII_06H07!B18),",0",",0")</f>
        <v>672011,18|2,0,0</v>
      </c>
      <c r="C18" t="str">
        <f>CONCATENATE(672032,",",ROW(VII_06H07!C18),"|",COLUMN(VII_06H07!C18),",0",",0")</f>
        <v>672032,18|3,0,0</v>
      </c>
    </row>
    <row r="19" spans="1:3" x14ac:dyDescent="0.25">
      <c r="A19" t="str">
        <f>CONCATENATE(672031,",",ROW(VII_06H07!A19),"|",COLUMN(VII_06H07!A19),",0",",0")</f>
        <v>672031,19|1,0,0</v>
      </c>
      <c r="B19" t="str">
        <f>CONCATENATE(672013,",",ROW(VII_06H07!B19),"|",COLUMN(VII_06H07!B19),",0",",0")</f>
        <v>672013,19|2,0,0</v>
      </c>
      <c r="C19" t="str">
        <f>CONCATENATE(672034,",",ROW(VII_06H07!C19),"|",COLUMN(VII_06H07!C19),",0",",0")</f>
        <v>672034,19|3,0,0</v>
      </c>
    </row>
    <row r="20" spans="1:3" x14ac:dyDescent="0.25">
      <c r="A20" t="str">
        <f>CONCATENATE(672010,",",ROW(VII_06H07!A20),"|",COLUMN(VII_06H07!A20),",0",",0")</f>
        <v>672010,20|1,0,0</v>
      </c>
      <c r="B20" t="str">
        <f>CONCATENATE(671990,",",ROW(VII_06H07!B20),"|",COLUMN(VII_06H07!B20),",0",",0")</f>
        <v>671990,20|2,0,0</v>
      </c>
      <c r="C20" t="str">
        <f>CONCATENATE(672035,",",ROW(VII_06H07!C20),"|",COLUMN(VII_06H07!C20),",0",",0")</f>
        <v>672035,20|3,0,0</v>
      </c>
    </row>
  </sheetData>
  <sheetProtection password="CB7D"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D7" sqref="D7"/>
    </sheetView>
  </sheetViews>
  <sheetFormatPr defaultRowHeight="15" x14ac:dyDescent="0.25"/>
  <cols>
    <col min="1" max="1" width="19.140625" bestFit="1" customWidth="1"/>
    <col min="2" max="2" width="31.28515625" bestFit="1" customWidth="1"/>
    <col min="3" max="3" width="19.140625" bestFit="1" customWidth="1"/>
    <col min="4" max="4" width="31.28515625" bestFit="1" customWidth="1"/>
    <col min="5" max="5" width="19.140625" bestFit="1" customWidth="1"/>
  </cols>
  <sheetData>
    <row r="1" spans="1:5" ht="20.25" x14ac:dyDescent="0.3">
      <c r="A1" s="1115" t="s">
        <v>24</v>
      </c>
      <c r="B1" s="1115" t="s">
        <v>5</v>
      </c>
      <c r="C1" s="1115" t="s">
        <v>5</v>
      </c>
      <c r="D1" s="1115" t="s">
        <v>5</v>
      </c>
      <c r="E1" s="1115" t="s">
        <v>5</v>
      </c>
    </row>
    <row r="2" spans="1:5" ht="37.5" x14ac:dyDescent="0.25">
      <c r="A2" s="583" t="s">
        <v>0</v>
      </c>
      <c r="B2" s="583" t="s">
        <v>350</v>
      </c>
      <c r="C2" s="583" t="s">
        <v>351</v>
      </c>
      <c r="D2" s="583" t="s">
        <v>352</v>
      </c>
      <c r="E2" s="583" t="s">
        <v>1</v>
      </c>
    </row>
    <row r="3" spans="1:5" ht="33" x14ac:dyDescent="0.25">
      <c r="A3" s="594" t="s">
        <v>82</v>
      </c>
      <c r="B3" s="589" t="s">
        <v>356</v>
      </c>
      <c r="C3" s="604" t="s">
        <v>353</v>
      </c>
      <c r="D3" s="1068">
        <v>1084685963796.7</v>
      </c>
      <c r="E3" s="601"/>
    </row>
    <row r="4" spans="1:5" ht="33" x14ac:dyDescent="0.25">
      <c r="A4" s="595" t="s">
        <v>62</v>
      </c>
      <c r="B4" s="590" t="s">
        <v>288</v>
      </c>
      <c r="C4" s="584" t="s">
        <v>353</v>
      </c>
      <c r="D4" s="1069">
        <v>86994314715.481918</v>
      </c>
      <c r="E4" s="598"/>
    </row>
    <row r="5" spans="1:5" ht="16.5" x14ac:dyDescent="0.25">
      <c r="A5" s="596" t="s">
        <v>46</v>
      </c>
      <c r="B5" s="591" t="s">
        <v>357</v>
      </c>
      <c r="C5" s="605" t="s">
        <v>353</v>
      </c>
      <c r="D5" s="1070">
        <v>50114974679</v>
      </c>
      <c r="E5" s="599"/>
    </row>
    <row r="6" spans="1:5" ht="49.5" x14ac:dyDescent="0.25">
      <c r="A6" s="597" t="s">
        <v>51</v>
      </c>
      <c r="B6" s="592" t="s">
        <v>358</v>
      </c>
      <c r="C6" s="606" t="s">
        <v>353</v>
      </c>
      <c r="D6" s="1071">
        <v>1221795253191.1819</v>
      </c>
      <c r="E6" s="600"/>
    </row>
    <row r="7" spans="1:5" ht="33" x14ac:dyDescent="0.25">
      <c r="A7" s="586" t="s">
        <v>52</v>
      </c>
      <c r="B7" s="593" t="s">
        <v>359</v>
      </c>
      <c r="C7" s="607" t="s">
        <v>353</v>
      </c>
      <c r="D7" s="1072">
        <v>3566225779490.6987</v>
      </c>
      <c r="E7" s="602"/>
    </row>
    <row r="8" spans="1:5" ht="33" x14ac:dyDescent="0.25">
      <c r="A8" s="587" t="s">
        <v>54</v>
      </c>
      <c r="B8" s="588" t="s">
        <v>355</v>
      </c>
      <c r="C8" s="585" t="s">
        <v>354</v>
      </c>
      <c r="D8" s="1073">
        <v>2.9188407551724782</v>
      </c>
      <c r="E8" s="603"/>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6.42578125" bestFit="1" customWidth="1"/>
  </cols>
  <sheetData>
    <row r="1" spans="1:1" ht="16.5" x14ac:dyDescent="0.25">
      <c r="A1" s="12">
        <v>4207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8"/>
  <sheetViews>
    <sheetView workbookViewId="0"/>
  </sheetViews>
  <sheetFormatPr defaultRowHeight="15" x14ac:dyDescent="0.25"/>
  <cols>
    <col min="1" max="1" width="1" style="608" bestFit="1" customWidth="1"/>
    <col min="2" max="5" width="1" bestFit="1" customWidth="1"/>
  </cols>
  <sheetData>
    <row r="3" spans="1:5" x14ac:dyDescent="0.25">
      <c r="A3" t="str">
        <f>CONCATENATE(671517,",",ROW(VIII_06H08!A3),"|",COLUMN(VIII_06H08!A3),",0",",0")</f>
        <v>671517,3|1,0,0</v>
      </c>
      <c r="B3" t="str">
        <f>CONCATENATE(671512,",",ROW(VIII_06H08!B3),"|",COLUMN(VIII_06H08!B3),",0",",0")</f>
        <v>671512,3|2,0,0</v>
      </c>
      <c r="C3" t="str">
        <f>CONCATENATE(671533,",",ROW(VIII_06H08!C3),"|",COLUMN(VIII_06H08!C3),",0",",0")</f>
        <v>671533,3|3,0,0</v>
      </c>
      <c r="D3" t="str">
        <f>CONCATENATE(671530,",",ROW(VIII_06H08!D3),"|",COLUMN(VIII_06H08!D3),",0",",0")</f>
        <v>671530,3|4,0,0</v>
      </c>
      <c r="E3" t="str">
        <f>CONCATENATE(671528,",",ROW(VIII_06H08!E3),"|",COLUMN(VIII_06H08!E3),",0",",0")</f>
        <v>671528,3|5,0,0</v>
      </c>
    </row>
    <row r="4" spans="1:5" x14ac:dyDescent="0.25">
      <c r="A4" t="str">
        <f>CONCATENATE(671518,",",ROW(VIII_06H08!A4),"|",COLUMN(VIII_06H08!A4),",0",",0")</f>
        <v>671518,4|1,0,0</v>
      </c>
      <c r="B4" t="str">
        <f>CONCATENATE(671513,",",ROW(VIII_06H08!B4),"|",COLUMN(VIII_06H08!B4),",0",",0")</f>
        <v>671513,4|2,0,0</v>
      </c>
      <c r="C4" t="str">
        <f>CONCATENATE(671507,",",ROW(VIII_06H08!C4),"|",COLUMN(VIII_06H08!C4),",0",",0")</f>
        <v>671507,4|3,0,0</v>
      </c>
      <c r="D4" t="str">
        <f>CONCATENATE(671523,",",ROW(VIII_06H08!D4),"|",COLUMN(VIII_06H08!D4),",0",",0")</f>
        <v>671523,4|4,0,0</v>
      </c>
      <c r="E4" t="str">
        <f>CONCATENATE(671525,",",ROW(VIII_06H08!E4),"|",COLUMN(VIII_06H08!E4),",0",",0")</f>
        <v>671525,4|5,0,0</v>
      </c>
    </row>
    <row r="5" spans="1:5" x14ac:dyDescent="0.25">
      <c r="A5" t="str">
        <f>CONCATENATE(671519,",",ROW(VIII_06H08!A5),"|",COLUMN(VIII_06H08!A5),",0",",0")</f>
        <v>671519,5|1,0,0</v>
      </c>
      <c r="B5" t="str">
        <f>CONCATENATE(671514,",",ROW(VIII_06H08!B5),"|",COLUMN(VIII_06H08!B5),",0",",0")</f>
        <v>671514,5|2,0,0</v>
      </c>
      <c r="C5" t="str">
        <f>CONCATENATE(671534,",",ROW(VIII_06H08!C5),"|",COLUMN(VIII_06H08!C5),",0",",0")</f>
        <v>671534,5|3,0,0</v>
      </c>
      <c r="D5" t="str">
        <f>CONCATENATE(671524,",",ROW(VIII_06H08!D5),"|",COLUMN(VIII_06H08!D5),",0",",0")</f>
        <v>671524,5|4,0,0</v>
      </c>
      <c r="E5" t="str">
        <f>CONCATENATE(671526,",",ROW(VIII_06H08!E5),"|",COLUMN(VIII_06H08!E5),",0",",0")</f>
        <v>671526,5|5,0,0</v>
      </c>
    </row>
    <row r="6" spans="1:5" x14ac:dyDescent="0.25">
      <c r="A6" t="str">
        <f>CONCATENATE(671520,",",ROW(VIII_06H08!A6),"|",COLUMN(VIII_06H08!A6),",0",",0")</f>
        <v>671520,6|1,0,0</v>
      </c>
      <c r="B6" t="str">
        <f>CONCATENATE(671515,",",ROW(VIII_06H08!B6),"|",COLUMN(VIII_06H08!B6),",0",",0")</f>
        <v>671515,6|2,0,0</v>
      </c>
      <c r="C6" t="str">
        <f>CONCATENATE(671535,",",ROW(VIII_06H08!C6),"|",COLUMN(VIII_06H08!C6),",0",",0")</f>
        <v>671535,6|3,0,0</v>
      </c>
      <c r="D6" t="str">
        <f>CONCATENATE(671529,",",ROW(VIII_06H08!D6),"|",COLUMN(VIII_06H08!D6),",0",",0")</f>
        <v>671529,6|4,0,0</v>
      </c>
      <c r="E6" t="str">
        <f>CONCATENATE(671527,",",ROW(VIII_06H08!E6),"|",COLUMN(VIII_06H08!E6),",0",",0")</f>
        <v>671527,6|5,0,0</v>
      </c>
    </row>
    <row r="7" spans="1:5" x14ac:dyDescent="0.25">
      <c r="A7" t="str">
        <f>CONCATENATE(671509,",",ROW(VIII_06H08!A7),"|",COLUMN(VIII_06H08!A7),",0",",0")</f>
        <v>671509,7|1,0,0</v>
      </c>
      <c r="B7" t="str">
        <f>CONCATENATE(671516,",",ROW(VIII_06H08!B7),"|",COLUMN(VIII_06H08!B7),",0",",0")</f>
        <v>671516,7|2,0,0</v>
      </c>
      <c r="C7" t="str">
        <f>CONCATENATE(671536,",",ROW(VIII_06H08!C7),"|",COLUMN(VIII_06H08!C7),",0",",0")</f>
        <v>671536,7|3,0,0</v>
      </c>
      <c r="D7" t="str">
        <f>CONCATENATE(671521,",",ROW(VIII_06H08!D7),"|",COLUMN(VIII_06H08!D7),",0",",0")</f>
        <v>671521,7|4,0,0</v>
      </c>
      <c r="E7" t="str">
        <f>CONCATENATE(671531,",",ROW(VIII_06H08!E7),"|",COLUMN(VIII_06H08!E7),",0",",0")</f>
        <v>671531,7|5,0,0</v>
      </c>
    </row>
    <row r="8" spans="1:5" x14ac:dyDescent="0.25">
      <c r="A8" t="str">
        <f>CONCATENATE(671510,",",ROW(VIII_06H08!A8),"|",COLUMN(VIII_06H08!A8),",0",",0")</f>
        <v>671510,8|1,0,0</v>
      </c>
      <c r="B8" t="str">
        <f>CONCATENATE(671511,",",ROW(VIII_06H08!B8),"|",COLUMN(VIII_06H08!B8),",0",",0")</f>
        <v>671511,8|2,0,0</v>
      </c>
      <c r="C8" t="str">
        <f>CONCATENATE(671508,",",ROW(VIII_06H08!C8),"|",COLUMN(VIII_06H08!C8),",0",",0")</f>
        <v>671508,8|3,0,0</v>
      </c>
      <c r="D8" t="str">
        <f>CONCATENATE(671522,",",ROW(VIII_06H08!D8),"|",COLUMN(VIII_06H08!D8),",0",",0")</f>
        <v>671522,8|4,0,0</v>
      </c>
      <c r="E8" t="str">
        <f>CONCATENATE(671532,",",ROW(VIII_06H08!E8),"|",COLUMN(VIII_06H08!E8),",0",",0")</f>
        <v>671532,8|5,0,0</v>
      </c>
    </row>
  </sheetData>
  <sheetProtection password="CB7D"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35"/>
  <sheetViews>
    <sheetView topLeftCell="A97" workbookViewId="0">
      <selection activeCell="E102" sqref="E102"/>
    </sheetView>
  </sheetViews>
  <sheetFormatPr defaultRowHeight="15" x14ac:dyDescent="0.25"/>
  <cols>
    <col min="1" max="1" width="9.140625" bestFit="1" customWidth="1"/>
    <col min="2" max="2" width="31.28515625" bestFit="1" customWidth="1"/>
    <col min="3" max="3" width="25" style="903" bestFit="1" customWidth="1"/>
    <col min="4" max="4" width="23.140625" style="903" bestFit="1" customWidth="1"/>
    <col min="5" max="5" width="25" style="903" bestFit="1" customWidth="1"/>
  </cols>
  <sheetData>
    <row r="1" spans="1:5" ht="20.25" x14ac:dyDescent="0.3">
      <c r="A1" s="1093" t="s">
        <v>8</v>
      </c>
      <c r="B1" s="1093" t="s">
        <v>5</v>
      </c>
      <c r="C1" s="1093" t="s">
        <v>5</v>
      </c>
      <c r="D1" s="1093" t="s">
        <v>5</v>
      </c>
      <c r="E1" s="1093" t="s">
        <v>5</v>
      </c>
    </row>
    <row r="2" spans="1:5" ht="18.75" x14ac:dyDescent="0.3">
      <c r="A2" s="1094" t="s">
        <v>37</v>
      </c>
      <c r="B2" s="1095" t="s">
        <v>5</v>
      </c>
      <c r="C2" s="1095" t="s">
        <v>5</v>
      </c>
      <c r="D2" s="1095" t="s">
        <v>5</v>
      </c>
      <c r="E2" s="1095" t="s">
        <v>5</v>
      </c>
    </row>
    <row r="3" spans="1:5" x14ac:dyDescent="0.25">
      <c r="A3" s="1091" t="s">
        <v>0</v>
      </c>
      <c r="B3" s="1091" t="s">
        <v>34</v>
      </c>
      <c r="C3" s="1089" t="s">
        <v>33</v>
      </c>
      <c r="D3" s="1090" t="s">
        <v>5</v>
      </c>
      <c r="E3" s="1090" t="s">
        <v>5</v>
      </c>
    </row>
    <row r="4" spans="1:5" ht="18.75" x14ac:dyDescent="0.25">
      <c r="A4" s="1092" t="s">
        <v>5</v>
      </c>
      <c r="B4" s="1092" t="s">
        <v>5</v>
      </c>
      <c r="C4" s="610" t="s">
        <v>33</v>
      </c>
      <c r="D4" s="610" t="s">
        <v>35</v>
      </c>
      <c r="E4" s="610" t="s">
        <v>36</v>
      </c>
    </row>
    <row r="5" spans="1:5" ht="16.5" x14ac:dyDescent="0.25">
      <c r="A5" s="117" t="s">
        <v>107</v>
      </c>
      <c r="B5" s="143" t="s">
        <v>119</v>
      </c>
      <c r="C5" s="611"/>
      <c r="D5" s="612"/>
      <c r="E5" s="613"/>
    </row>
    <row r="6" spans="1:5" ht="66" x14ac:dyDescent="0.25">
      <c r="A6" s="118" t="s">
        <v>82</v>
      </c>
      <c r="B6" s="92" t="s">
        <v>89</v>
      </c>
      <c r="C6" s="614">
        <v>3011500000000</v>
      </c>
      <c r="D6" s="615" t="s">
        <v>5</v>
      </c>
      <c r="E6" s="616" t="s">
        <v>5</v>
      </c>
    </row>
    <row r="7" spans="1:5" ht="49.5" x14ac:dyDescent="0.25">
      <c r="A7" s="119" t="s">
        <v>62</v>
      </c>
      <c r="B7" s="59" t="s">
        <v>60</v>
      </c>
      <c r="C7" s="617"/>
      <c r="D7" s="618" t="s">
        <v>5</v>
      </c>
      <c r="E7" s="619" t="s">
        <v>5</v>
      </c>
    </row>
    <row r="8" spans="1:5" ht="49.5" x14ac:dyDescent="0.25">
      <c r="A8" s="120" t="s">
        <v>46</v>
      </c>
      <c r="B8" s="60" t="s">
        <v>61</v>
      </c>
      <c r="C8" s="620"/>
      <c r="D8" s="621" t="s">
        <v>5</v>
      </c>
      <c r="E8" s="622" t="s">
        <v>5</v>
      </c>
    </row>
    <row r="9" spans="1:5" ht="49.5" x14ac:dyDescent="0.25">
      <c r="A9" s="121" t="s">
        <v>51</v>
      </c>
      <c r="B9" s="85" t="s">
        <v>85</v>
      </c>
      <c r="C9" s="623"/>
      <c r="D9" s="624" t="s">
        <v>5</v>
      </c>
      <c r="E9" s="625" t="s">
        <v>5</v>
      </c>
    </row>
    <row r="10" spans="1:5" ht="49.5" x14ac:dyDescent="0.25">
      <c r="A10" s="122" t="s">
        <v>52</v>
      </c>
      <c r="B10" s="226" t="s">
        <v>169</v>
      </c>
      <c r="C10" s="626"/>
      <c r="D10" s="627" t="s">
        <v>5</v>
      </c>
      <c r="E10" s="628" t="s">
        <v>5</v>
      </c>
    </row>
    <row r="11" spans="1:5" ht="66" x14ac:dyDescent="0.25">
      <c r="A11" s="123" t="s">
        <v>54</v>
      </c>
      <c r="B11" s="187" t="s">
        <v>141</v>
      </c>
      <c r="C11" s="629" t="s">
        <v>360</v>
      </c>
      <c r="D11" s="630" t="s">
        <v>5</v>
      </c>
      <c r="E11" s="631" t="s">
        <v>5</v>
      </c>
    </row>
    <row r="12" spans="1:5" ht="49.5" x14ac:dyDescent="0.25">
      <c r="A12" s="124" t="s">
        <v>55</v>
      </c>
      <c r="B12" s="229" t="s">
        <v>172</v>
      </c>
      <c r="C12" s="632">
        <v>13199809009</v>
      </c>
      <c r="D12" s="633" t="s">
        <v>5</v>
      </c>
      <c r="E12" s="634" t="s">
        <v>5</v>
      </c>
    </row>
    <row r="13" spans="1:5" ht="49.5" x14ac:dyDescent="0.25">
      <c r="A13" s="125" t="s">
        <v>108</v>
      </c>
      <c r="B13" s="126" t="s">
        <v>109</v>
      </c>
      <c r="C13" s="635">
        <v>13199809009</v>
      </c>
      <c r="D13" s="636" t="s">
        <v>5</v>
      </c>
      <c r="E13" s="637" t="s">
        <v>5</v>
      </c>
    </row>
    <row r="14" spans="1:5" ht="49.5" x14ac:dyDescent="0.25">
      <c r="A14" s="200" t="s">
        <v>137</v>
      </c>
      <c r="B14" s="127" t="s">
        <v>110</v>
      </c>
      <c r="C14" s="638"/>
      <c r="D14" s="639" t="s">
        <v>5</v>
      </c>
      <c r="E14" s="640" t="s">
        <v>5</v>
      </c>
    </row>
    <row r="15" spans="1:5" ht="33" x14ac:dyDescent="0.25">
      <c r="A15" s="201" t="s">
        <v>64</v>
      </c>
      <c r="B15" s="136" t="s">
        <v>114</v>
      </c>
      <c r="C15" s="641">
        <v>603047241192</v>
      </c>
      <c r="D15" s="642" t="s">
        <v>5</v>
      </c>
      <c r="E15" s="643" t="s">
        <v>5</v>
      </c>
    </row>
    <row r="16" spans="1:5" ht="49.5" x14ac:dyDescent="0.25">
      <c r="A16" s="202" t="s">
        <v>68</v>
      </c>
      <c r="B16" s="227" t="s">
        <v>170</v>
      </c>
      <c r="C16" s="644">
        <v>23617745641</v>
      </c>
      <c r="D16" s="645" t="s">
        <v>5</v>
      </c>
      <c r="E16" s="646" t="s">
        <v>5</v>
      </c>
    </row>
    <row r="17" spans="1:5" ht="49.5" x14ac:dyDescent="0.25">
      <c r="A17" s="149" t="s">
        <v>72</v>
      </c>
      <c r="B17" s="228" t="s">
        <v>171</v>
      </c>
      <c r="C17" s="647" t="s">
        <v>5</v>
      </c>
      <c r="D17" s="648" t="s">
        <v>5</v>
      </c>
      <c r="E17" s="649" t="s">
        <v>5</v>
      </c>
    </row>
    <row r="18" spans="1:5" ht="33" x14ac:dyDescent="0.25">
      <c r="A18" s="150" t="s">
        <v>76</v>
      </c>
      <c r="B18" s="230" t="s">
        <v>173</v>
      </c>
      <c r="C18" s="650" t="s">
        <v>5</v>
      </c>
      <c r="D18" s="651" t="s">
        <v>5</v>
      </c>
      <c r="E18" s="652" t="s">
        <v>5</v>
      </c>
    </row>
    <row r="19" spans="1:5" ht="49.5" x14ac:dyDescent="0.25">
      <c r="A19" s="151" t="s">
        <v>80</v>
      </c>
      <c r="B19" s="137" t="s">
        <v>115</v>
      </c>
      <c r="C19" s="653" t="s">
        <v>5</v>
      </c>
      <c r="D19" s="654" t="s">
        <v>5</v>
      </c>
      <c r="E19" s="655" t="s">
        <v>5</v>
      </c>
    </row>
    <row r="20" spans="1:5" ht="82.5" x14ac:dyDescent="0.25">
      <c r="A20" s="152" t="s">
        <v>124</v>
      </c>
      <c r="B20" s="128" t="s">
        <v>111</v>
      </c>
      <c r="C20" s="656" t="s">
        <v>5</v>
      </c>
      <c r="D20" s="657"/>
      <c r="E20" s="658">
        <v>132011699722</v>
      </c>
    </row>
    <row r="21" spans="1:5" ht="33" x14ac:dyDescent="0.25">
      <c r="A21" s="153" t="s">
        <v>125</v>
      </c>
      <c r="B21" s="129" t="s">
        <v>112</v>
      </c>
      <c r="C21" s="659" t="s">
        <v>5</v>
      </c>
      <c r="D21" s="660" t="s">
        <v>5</v>
      </c>
      <c r="E21" s="661" t="s">
        <v>5</v>
      </c>
    </row>
    <row r="22" spans="1:5" ht="49.5" x14ac:dyDescent="0.25">
      <c r="A22" s="221" t="s">
        <v>164</v>
      </c>
      <c r="B22" s="138" t="s">
        <v>116</v>
      </c>
      <c r="C22" s="662">
        <v>3796576304573</v>
      </c>
      <c r="D22" s="663"/>
      <c r="E22" s="664"/>
    </row>
    <row r="23" spans="1:5" ht="49.5" x14ac:dyDescent="0.25">
      <c r="A23" s="222" t="s">
        <v>165</v>
      </c>
      <c r="B23" s="139" t="s">
        <v>117</v>
      </c>
      <c r="C23" s="665" t="s">
        <v>5</v>
      </c>
      <c r="D23" s="666" t="s">
        <v>5</v>
      </c>
      <c r="E23" s="667" t="s">
        <v>5</v>
      </c>
    </row>
    <row r="24" spans="1:5" ht="34.5" x14ac:dyDescent="0.25">
      <c r="A24" s="192" t="s">
        <v>144</v>
      </c>
      <c r="B24" s="144" t="s">
        <v>120</v>
      </c>
      <c r="C24" s="668" t="s">
        <v>5</v>
      </c>
      <c r="D24" s="669" t="s">
        <v>5</v>
      </c>
      <c r="E24" s="670" t="s">
        <v>5</v>
      </c>
    </row>
    <row r="25" spans="1:5" ht="49.5" x14ac:dyDescent="0.25">
      <c r="A25" s="193" t="s">
        <v>82</v>
      </c>
      <c r="B25" s="145" t="s">
        <v>121</v>
      </c>
      <c r="C25" s="671" t="s">
        <v>5</v>
      </c>
      <c r="D25" s="672" t="s">
        <v>5</v>
      </c>
      <c r="E25" s="673" t="s">
        <v>5</v>
      </c>
    </row>
    <row r="26" spans="1:5" ht="49.5" x14ac:dyDescent="0.25">
      <c r="A26" s="194" t="s">
        <v>62</v>
      </c>
      <c r="B26" s="37" t="s">
        <v>38</v>
      </c>
      <c r="C26" s="674" t="s">
        <v>5</v>
      </c>
      <c r="D26" s="675" t="s">
        <v>5</v>
      </c>
      <c r="E26" s="676" t="s">
        <v>5</v>
      </c>
    </row>
    <row r="27" spans="1:5" ht="49.5" x14ac:dyDescent="0.25">
      <c r="A27" s="43" t="s">
        <v>44</v>
      </c>
      <c r="B27" s="146" t="s">
        <v>98</v>
      </c>
      <c r="C27" s="677" t="s">
        <v>5</v>
      </c>
      <c r="D27" s="678" t="s">
        <v>5</v>
      </c>
      <c r="E27" s="679" t="s">
        <v>5</v>
      </c>
    </row>
    <row r="28" spans="1:5" ht="49.5" x14ac:dyDescent="0.25">
      <c r="A28" s="44" t="s">
        <v>45</v>
      </c>
      <c r="B28" s="38" t="s">
        <v>39</v>
      </c>
      <c r="C28" s="680" t="s">
        <v>5</v>
      </c>
      <c r="D28" s="681" t="s">
        <v>5</v>
      </c>
      <c r="E28" s="682" t="s">
        <v>5</v>
      </c>
    </row>
    <row r="29" spans="1:5" ht="49.5" x14ac:dyDescent="0.25">
      <c r="A29" s="45" t="s">
        <v>46</v>
      </c>
      <c r="B29" s="39" t="s">
        <v>40</v>
      </c>
      <c r="C29" s="683" t="s">
        <v>5</v>
      </c>
      <c r="D29" s="684" t="s">
        <v>5</v>
      </c>
      <c r="E29" s="685" t="s">
        <v>5</v>
      </c>
    </row>
    <row r="30" spans="1:5" ht="49.5" x14ac:dyDescent="0.25">
      <c r="A30" s="46" t="s">
        <v>47</v>
      </c>
      <c r="B30" s="140" t="s">
        <v>98</v>
      </c>
      <c r="C30" s="686" t="s">
        <v>5</v>
      </c>
      <c r="D30" s="687" t="s">
        <v>5</v>
      </c>
      <c r="E30" s="688" t="s">
        <v>5</v>
      </c>
    </row>
    <row r="31" spans="1:5" ht="49.5" x14ac:dyDescent="0.25">
      <c r="A31" s="49" t="s">
        <v>50</v>
      </c>
      <c r="B31" s="186" t="s">
        <v>39</v>
      </c>
      <c r="C31" s="689" t="s">
        <v>5</v>
      </c>
      <c r="D31" s="690" t="s">
        <v>5</v>
      </c>
      <c r="E31" s="691" t="s">
        <v>5</v>
      </c>
    </row>
    <row r="32" spans="1:5" ht="33" x14ac:dyDescent="0.25">
      <c r="A32" s="50" t="s">
        <v>51</v>
      </c>
      <c r="B32" s="147" t="s">
        <v>122</v>
      </c>
      <c r="C32" s="692" t="s">
        <v>5</v>
      </c>
      <c r="D32" s="693" t="s">
        <v>5</v>
      </c>
      <c r="E32" s="694" t="s">
        <v>5</v>
      </c>
    </row>
    <row r="33" spans="1:5" ht="49.5" x14ac:dyDescent="0.25">
      <c r="A33" s="51" t="s">
        <v>52</v>
      </c>
      <c r="B33" s="148" t="s">
        <v>123</v>
      </c>
      <c r="C33" s="695" t="s">
        <v>5</v>
      </c>
      <c r="D33" s="696" t="s">
        <v>5</v>
      </c>
      <c r="E33" s="697" t="s">
        <v>5</v>
      </c>
    </row>
    <row r="34" spans="1:5" ht="49.5" x14ac:dyDescent="0.25">
      <c r="A34" s="52" t="s">
        <v>53</v>
      </c>
      <c r="B34" s="106" t="s">
        <v>98</v>
      </c>
      <c r="C34" s="698" t="s">
        <v>5</v>
      </c>
      <c r="D34" s="699" t="s">
        <v>5</v>
      </c>
      <c r="E34" s="700" t="s">
        <v>5</v>
      </c>
    </row>
    <row r="35" spans="1:5" ht="33" x14ac:dyDescent="0.25">
      <c r="A35" s="40" t="s">
        <v>41</v>
      </c>
      <c r="B35" s="84" t="s">
        <v>84</v>
      </c>
      <c r="C35" s="701" t="s">
        <v>5</v>
      </c>
      <c r="D35" s="702" t="s">
        <v>5</v>
      </c>
      <c r="E35" s="703" t="s">
        <v>5</v>
      </c>
    </row>
    <row r="36" spans="1:5" ht="66" x14ac:dyDescent="0.25">
      <c r="A36" s="53" t="s">
        <v>54</v>
      </c>
      <c r="B36" s="56" t="s">
        <v>57</v>
      </c>
      <c r="C36" s="704" t="s">
        <v>5</v>
      </c>
      <c r="D36" s="705" t="s">
        <v>5</v>
      </c>
      <c r="E36" s="706" t="s">
        <v>5</v>
      </c>
    </row>
    <row r="37" spans="1:5" ht="82.5" x14ac:dyDescent="0.25">
      <c r="A37" s="54" t="s">
        <v>55</v>
      </c>
      <c r="B37" s="96" t="s">
        <v>92</v>
      </c>
      <c r="C37" s="707" t="s">
        <v>5</v>
      </c>
      <c r="D37" s="708" t="s">
        <v>5</v>
      </c>
      <c r="E37" s="709" t="s">
        <v>5</v>
      </c>
    </row>
    <row r="38" spans="1:5" ht="66" x14ac:dyDescent="0.25">
      <c r="A38" s="55" t="s">
        <v>56</v>
      </c>
      <c r="B38" s="57" t="s">
        <v>58</v>
      </c>
      <c r="C38" s="710" t="s">
        <v>5</v>
      </c>
      <c r="D38" s="711" t="s">
        <v>5</v>
      </c>
      <c r="E38" s="712" t="s">
        <v>5</v>
      </c>
    </row>
    <row r="39" spans="1:5" ht="66" x14ac:dyDescent="0.25">
      <c r="A39" s="177" t="s">
        <v>135</v>
      </c>
      <c r="B39" s="97" t="s">
        <v>42</v>
      </c>
      <c r="C39" s="713" t="s">
        <v>5</v>
      </c>
      <c r="D39" s="714">
        <v>24972091653.301369</v>
      </c>
      <c r="E39" s="715" t="s">
        <v>5</v>
      </c>
    </row>
    <row r="40" spans="1:5" ht="66" x14ac:dyDescent="0.25">
      <c r="A40" s="178" t="s">
        <v>136</v>
      </c>
      <c r="B40" s="98" t="s">
        <v>93</v>
      </c>
      <c r="C40" s="716" t="s">
        <v>5</v>
      </c>
      <c r="D40" s="717" t="s">
        <v>5</v>
      </c>
      <c r="E40" s="718" t="s">
        <v>5</v>
      </c>
    </row>
    <row r="41" spans="1:5" ht="49.5" x14ac:dyDescent="0.25">
      <c r="A41" s="179" t="s">
        <v>108</v>
      </c>
      <c r="B41" s="154" t="s">
        <v>126</v>
      </c>
      <c r="C41" s="719" t="s">
        <v>5</v>
      </c>
      <c r="D41" s="720" t="s">
        <v>5</v>
      </c>
      <c r="E41" s="721" t="s">
        <v>5</v>
      </c>
    </row>
    <row r="42" spans="1:5" ht="82.5" x14ac:dyDescent="0.25">
      <c r="A42" s="180" t="s">
        <v>137</v>
      </c>
      <c r="B42" s="58" t="s">
        <v>59</v>
      </c>
      <c r="C42" s="722" t="s">
        <v>5</v>
      </c>
      <c r="D42" s="723" t="s">
        <v>5</v>
      </c>
      <c r="E42" s="724" t="s">
        <v>5</v>
      </c>
    </row>
    <row r="43" spans="1:5" ht="33" x14ac:dyDescent="0.25">
      <c r="A43" s="63" t="s">
        <v>64</v>
      </c>
      <c r="B43" s="216" t="s">
        <v>160</v>
      </c>
      <c r="C43" s="725" t="s">
        <v>5</v>
      </c>
      <c r="D43" s="726" t="s">
        <v>5</v>
      </c>
      <c r="E43" s="727" t="s">
        <v>5</v>
      </c>
    </row>
    <row r="44" spans="1:5" ht="66" x14ac:dyDescent="0.25">
      <c r="A44" s="64" t="s">
        <v>65</v>
      </c>
      <c r="B44" s="155" t="s">
        <v>58</v>
      </c>
      <c r="C44" s="728" t="s">
        <v>5</v>
      </c>
      <c r="D44" s="729" t="s">
        <v>5</v>
      </c>
      <c r="E44" s="730" t="s">
        <v>5</v>
      </c>
    </row>
    <row r="45" spans="1:5" ht="66" x14ac:dyDescent="0.25">
      <c r="A45" s="65" t="s">
        <v>66</v>
      </c>
      <c r="B45" s="161" t="s">
        <v>42</v>
      </c>
      <c r="C45" s="731" t="s">
        <v>5</v>
      </c>
      <c r="D45" s="732"/>
      <c r="E45" s="733" t="s">
        <v>5</v>
      </c>
    </row>
    <row r="46" spans="1:5" ht="66" x14ac:dyDescent="0.25">
      <c r="A46" s="66" t="s">
        <v>67</v>
      </c>
      <c r="B46" s="162" t="s">
        <v>93</v>
      </c>
      <c r="C46" s="734" t="s">
        <v>5</v>
      </c>
      <c r="D46" s="735"/>
      <c r="E46" s="736" t="s">
        <v>5</v>
      </c>
    </row>
    <row r="47" spans="1:5" ht="33" x14ac:dyDescent="0.25">
      <c r="A47" s="67" t="s">
        <v>68</v>
      </c>
      <c r="B47" s="159" t="s">
        <v>127</v>
      </c>
      <c r="C47" s="737" t="s">
        <v>5</v>
      </c>
      <c r="D47" s="738" t="s">
        <v>5</v>
      </c>
      <c r="E47" s="739" t="s">
        <v>5</v>
      </c>
    </row>
    <row r="48" spans="1:5" ht="66" x14ac:dyDescent="0.25">
      <c r="A48" s="68" t="s">
        <v>69</v>
      </c>
      <c r="B48" s="163" t="s">
        <v>128</v>
      </c>
      <c r="C48" s="740" t="s">
        <v>5</v>
      </c>
      <c r="D48" s="741" t="s">
        <v>5</v>
      </c>
      <c r="E48" s="742" t="s">
        <v>5</v>
      </c>
    </row>
    <row r="49" spans="1:5" ht="66" x14ac:dyDescent="0.25">
      <c r="A49" s="69" t="s">
        <v>70</v>
      </c>
      <c r="B49" s="164" t="s">
        <v>129</v>
      </c>
      <c r="C49" s="743" t="s">
        <v>5</v>
      </c>
      <c r="D49" s="744" t="s">
        <v>5</v>
      </c>
      <c r="E49" s="745" t="s">
        <v>5</v>
      </c>
    </row>
    <row r="50" spans="1:5" ht="66" x14ac:dyDescent="0.25">
      <c r="A50" s="70" t="s">
        <v>71</v>
      </c>
      <c r="B50" s="165" t="s">
        <v>93</v>
      </c>
      <c r="C50" s="746" t="s">
        <v>5</v>
      </c>
      <c r="D50" s="747" t="s">
        <v>5</v>
      </c>
      <c r="E50" s="748" t="s">
        <v>5</v>
      </c>
    </row>
    <row r="51" spans="1:5" ht="49.5" x14ac:dyDescent="0.25">
      <c r="A51" s="71" t="s">
        <v>72</v>
      </c>
      <c r="B51" s="166" t="s">
        <v>130</v>
      </c>
      <c r="C51" s="749" t="s">
        <v>5</v>
      </c>
      <c r="D51" s="750" t="s">
        <v>5</v>
      </c>
      <c r="E51" s="751" t="s">
        <v>5</v>
      </c>
    </row>
    <row r="52" spans="1:5" ht="66" x14ac:dyDescent="0.25">
      <c r="A52" s="72" t="s">
        <v>73</v>
      </c>
      <c r="B52" s="196" t="s">
        <v>58</v>
      </c>
      <c r="C52" s="752" t="s">
        <v>5</v>
      </c>
      <c r="D52" s="753" t="s">
        <v>5</v>
      </c>
      <c r="E52" s="754" t="s">
        <v>5</v>
      </c>
    </row>
    <row r="53" spans="1:5" ht="66" x14ac:dyDescent="0.25">
      <c r="A53" s="73" t="s">
        <v>74</v>
      </c>
      <c r="B53" s="133" t="s">
        <v>42</v>
      </c>
      <c r="C53" s="755" t="s">
        <v>5</v>
      </c>
      <c r="D53" s="756" t="s">
        <v>5</v>
      </c>
      <c r="E53" s="757" t="s">
        <v>5</v>
      </c>
    </row>
    <row r="54" spans="1:5" ht="49.5" x14ac:dyDescent="0.25">
      <c r="A54" s="74" t="s">
        <v>75</v>
      </c>
      <c r="B54" s="134" t="s">
        <v>93</v>
      </c>
      <c r="C54" s="758" t="s">
        <v>5</v>
      </c>
      <c r="D54" s="759" t="s">
        <v>5</v>
      </c>
      <c r="E54" s="760" t="s">
        <v>5</v>
      </c>
    </row>
    <row r="55" spans="1:5" ht="33" x14ac:dyDescent="0.25">
      <c r="A55" s="75" t="s">
        <v>76</v>
      </c>
      <c r="B55" s="135" t="s">
        <v>113</v>
      </c>
      <c r="C55" s="761" t="s">
        <v>5</v>
      </c>
      <c r="D55" s="762" t="s">
        <v>5</v>
      </c>
      <c r="E55" s="763" t="s">
        <v>5</v>
      </c>
    </row>
    <row r="56" spans="1:5" ht="49.5" x14ac:dyDescent="0.25">
      <c r="A56" s="76" t="s">
        <v>77</v>
      </c>
      <c r="B56" s="203" t="s">
        <v>147</v>
      </c>
      <c r="C56" s="764" t="s">
        <v>5</v>
      </c>
      <c r="D56" s="765" t="s">
        <v>5</v>
      </c>
      <c r="E56" s="766" t="s">
        <v>5</v>
      </c>
    </row>
    <row r="57" spans="1:5" ht="66" x14ac:dyDescent="0.25">
      <c r="A57" s="77" t="s">
        <v>78</v>
      </c>
      <c r="B57" s="41" t="s">
        <v>42</v>
      </c>
      <c r="C57" s="767" t="s">
        <v>5</v>
      </c>
      <c r="D57" s="768"/>
      <c r="E57" s="769" t="s">
        <v>5</v>
      </c>
    </row>
    <row r="58" spans="1:5" ht="82.5" x14ac:dyDescent="0.25">
      <c r="A58" s="78" t="s">
        <v>79</v>
      </c>
      <c r="B58" s="204" t="s">
        <v>148</v>
      </c>
      <c r="C58" s="770" t="s">
        <v>5</v>
      </c>
      <c r="D58" s="771"/>
      <c r="E58" s="772" t="s">
        <v>5</v>
      </c>
    </row>
    <row r="59" spans="1:5" ht="49.5" x14ac:dyDescent="0.25">
      <c r="A59" s="79" t="s">
        <v>80</v>
      </c>
      <c r="B59" s="205" t="s">
        <v>149</v>
      </c>
      <c r="C59" s="773" t="s">
        <v>5</v>
      </c>
      <c r="D59" s="774" t="s">
        <v>5</v>
      </c>
      <c r="E59" s="775" t="s">
        <v>5</v>
      </c>
    </row>
    <row r="60" spans="1:5" ht="33" x14ac:dyDescent="0.25">
      <c r="A60" s="80" t="s">
        <v>81</v>
      </c>
      <c r="B60" s="206" t="s">
        <v>150</v>
      </c>
      <c r="C60" s="776" t="s">
        <v>5</v>
      </c>
      <c r="D60" s="777" t="s">
        <v>5</v>
      </c>
      <c r="E60" s="778" t="s">
        <v>5</v>
      </c>
    </row>
    <row r="61" spans="1:5" ht="33" x14ac:dyDescent="0.25">
      <c r="A61" s="81" t="s">
        <v>82</v>
      </c>
      <c r="B61" s="207" t="s">
        <v>151</v>
      </c>
      <c r="C61" s="779" t="s">
        <v>5</v>
      </c>
      <c r="D61" s="780" t="s">
        <v>5</v>
      </c>
      <c r="E61" s="781" t="s">
        <v>5</v>
      </c>
    </row>
    <row r="62" spans="1:5" ht="49.5" x14ac:dyDescent="0.25">
      <c r="A62" s="82" t="s">
        <v>83</v>
      </c>
      <c r="B62" s="208" t="s">
        <v>152</v>
      </c>
      <c r="C62" s="782" t="s">
        <v>5</v>
      </c>
      <c r="D62" s="783" t="s">
        <v>5</v>
      </c>
      <c r="E62" s="784" t="s">
        <v>5</v>
      </c>
    </row>
    <row r="63" spans="1:5" ht="66" x14ac:dyDescent="0.25">
      <c r="A63" s="93" t="s">
        <v>90</v>
      </c>
      <c r="B63" s="209" t="s">
        <v>153</v>
      </c>
      <c r="C63" s="785" t="s">
        <v>5</v>
      </c>
      <c r="D63" s="786">
        <v>35000000</v>
      </c>
      <c r="E63" s="787" t="s">
        <v>5</v>
      </c>
    </row>
    <row r="64" spans="1:5" ht="66" x14ac:dyDescent="0.25">
      <c r="A64" s="94" t="s">
        <v>91</v>
      </c>
      <c r="B64" s="107" t="s">
        <v>99</v>
      </c>
      <c r="C64" s="788" t="s">
        <v>5</v>
      </c>
      <c r="D64" s="789"/>
      <c r="E64" s="790" t="s">
        <v>5</v>
      </c>
    </row>
    <row r="65" spans="1:5" ht="33" x14ac:dyDescent="0.25">
      <c r="A65" s="218" t="s">
        <v>62</v>
      </c>
      <c r="B65" s="88" t="s">
        <v>86</v>
      </c>
      <c r="C65" s="791" t="s">
        <v>5</v>
      </c>
      <c r="D65" s="792">
        <v>46650700</v>
      </c>
      <c r="E65" s="793" t="s">
        <v>5</v>
      </c>
    </row>
    <row r="66" spans="1:5" ht="16.5" x14ac:dyDescent="0.25">
      <c r="A66" s="95" t="s">
        <v>46</v>
      </c>
      <c r="B66" s="142" t="s">
        <v>118</v>
      </c>
      <c r="C66" s="794" t="s">
        <v>5</v>
      </c>
      <c r="D66" s="795">
        <v>3998681412</v>
      </c>
      <c r="E66" s="796" t="s">
        <v>5</v>
      </c>
    </row>
    <row r="67" spans="1:5" ht="33" x14ac:dyDescent="0.25">
      <c r="A67" s="86" t="s">
        <v>51</v>
      </c>
      <c r="B67" s="90" t="s">
        <v>88</v>
      </c>
      <c r="C67" s="797" t="s">
        <v>5</v>
      </c>
      <c r="D67" s="798" t="s">
        <v>360</v>
      </c>
      <c r="E67" s="799" t="s">
        <v>5</v>
      </c>
    </row>
    <row r="68" spans="1:5" ht="33" x14ac:dyDescent="0.25">
      <c r="A68" s="91" t="s">
        <v>52</v>
      </c>
      <c r="B68" s="219" t="s">
        <v>162</v>
      </c>
      <c r="C68" s="800" t="s">
        <v>5</v>
      </c>
      <c r="D68" s="801" t="s">
        <v>360</v>
      </c>
      <c r="E68" s="802" t="s">
        <v>5</v>
      </c>
    </row>
    <row r="69" spans="1:5" ht="33" x14ac:dyDescent="0.25">
      <c r="A69" s="87" t="s">
        <v>54</v>
      </c>
      <c r="B69" s="220" t="s">
        <v>163</v>
      </c>
      <c r="C69" s="803" t="s">
        <v>5</v>
      </c>
      <c r="D69" s="804">
        <v>19549264</v>
      </c>
      <c r="E69" s="805" t="s">
        <v>5</v>
      </c>
    </row>
    <row r="70" spans="1:5" ht="16.5" x14ac:dyDescent="0.25">
      <c r="A70" s="141" t="s">
        <v>55</v>
      </c>
      <c r="B70" s="89" t="s">
        <v>87</v>
      </c>
      <c r="C70" s="806" t="s">
        <v>5</v>
      </c>
      <c r="D70" s="807">
        <v>1353961141</v>
      </c>
      <c r="E70" s="808" t="s">
        <v>5</v>
      </c>
    </row>
    <row r="71" spans="1:5" ht="49.5" x14ac:dyDescent="0.25">
      <c r="A71" s="188" t="s">
        <v>108</v>
      </c>
      <c r="B71" s="210" t="s">
        <v>154</v>
      </c>
      <c r="C71" s="809" t="s">
        <v>5</v>
      </c>
      <c r="D71" s="810" t="s">
        <v>5</v>
      </c>
      <c r="E71" s="811" t="s">
        <v>5</v>
      </c>
    </row>
    <row r="72" spans="1:5" ht="33" x14ac:dyDescent="0.25">
      <c r="A72" s="189" t="s">
        <v>142</v>
      </c>
      <c r="B72" s="42" t="s">
        <v>43</v>
      </c>
      <c r="C72" s="812" t="s">
        <v>5</v>
      </c>
      <c r="D72" s="813">
        <v>30425934170.301369</v>
      </c>
      <c r="E72" s="814"/>
    </row>
    <row r="73" spans="1:5" ht="33" x14ac:dyDescent="0.25">
      <c r="A73" s="190" t="s">
        <v>143</v>
      </c>
      <c r="B73" s="211" t="s">
        <v>155</v>
      </c>
      <c r="C73" s="815" t="s">
        <v>5</v>
      </c>
      <c r="D73" s="816" t="s">
        <v>5</v>
      </c>
      <c r="E73" s="817" t="s">
        <v>5</v>
      </c>
    </row>
    <row r="74" spans="1:5" ht="34.5" x14ac:dyDescent="0.25">
      <c r="A74" s="191" t="s">
        <v>144</v>
      </c>
      <c r="B74" s="212" t="s">
        <v>156</v>
      </c>
      <c r="C74" s="818" t="s">
        <v>5</v>
      </c>
      <c r="D74" s="819" t="s">
        <v>5</v>
      </c>
      <c r="E74" s="820" t="s">
        <v>5</v>
      </c>
    </row>
    <row r="75" spans="1:5" ht="33" x14ac:dyDescent="0.25">
      <c r="A75" s="156" t="s">
        <v>82</v>
      </c>
      <c r="B75" s="108" t="s">
        <v>100</v>
      </c>
      <c r="C75" s="821" t="s">
        <v>5</v>
      </c>
      <c r="D75" s="822" t="s">
        <v>5</v>
      </c>
      <c r="E75" s="823" t="s">
        <v>5</v>
      </c>
    </row>
    <row r="76" spans="1:5" ht="33" x14ac:dyDescent="0.25">
      <c r="A76" s="157" t="s">
        <v>62</v>
      </c>
      <c r="B76" s="109" t="s">
        <v>101</v>
      </c>
      <c r="C76" s="824" t="s">
        <v>5</v>
      </c>
      <c r="D76" s="825" t="s">
        <v>5</v>
      </c>
      <c r="E76" s="826" t="s">
        <v>5</v>
      </c>
    </row>
    <row r="77" spans="1:5" ht="49.5" x14ac:dyDescent="0.25">
      <c r="A77" s="158" t="s">
        <v>44</v>
      </c>
      <c r="B77" s="110" t="s">
        <v>102</v>
      </c>
      <c r="C77" s="827" t="s">
        <v>5</v>
      </c>
      <c r="D77" s="828" t="s">
        <v>5</v>
      </c>
      <c r="E77" s="829" t="s">
        <v>5</v>
      </c>
    </row>
    <row r="78" spans="1:5" ht="49.5" x14ac:dyDescent="0.25">
      <c r="A78" s="100"/>
      <c r="B78" s="111" t="s">
        <v>98</v>
      </c>
      <c r="C78" s="830" t="s">
        <v>5</v>
      </c>
      <c r="D78" s="831" t="s">
        <v>5</v>
      </c>
      <c r="E78" s="832" t="s">
        <v>5</v>
      </c>
    </row>
    <row r="79" spans="1:5" ht="49.5" x14ac:dyDescent="0.25">
      <c r="A79" s="131"/>
      <c r="B79" s="195" t="s">
        <v>39</v>
      </c>
      <c r="C79" s="833" t="s">
        <v>5</v>
      </c>
      <c r="D79" s="834" t="s">
        <v>5</v>
      </c>
      <c r="E79" s="835" t="s">
        <v>5</v>
      </c>
    </row>
    <row r="80" spans="1:5" ht="33" x14ac:dyDescent="0.25">
      <c r="A80" s="160" t="s">
        <v>45</v>
      </c>
      <c r="B80" s="213" t="s">
        <v>157</v>
      </c>
      <c r="C80" s="836" t="s">
        <v>5</v>
      </c>
      <c r="D80" s="837" t="s">
        <v>5</v>
      </c>
      <c r="E80" s="838" t="s">
        <v>5</v>
      </c>
    </row>
    <row r="81" spans="1:5" ht="33" x14ac:dyDescent="0.25">
      <c r="A81" s="168" t="s">
        <v>131</v>
      </c>
      <c r="B81" s="197" t="s">
        <v>145</v>
      </c>
      <c r="C81" s="839" t="s">
        <v>5</v>
      </c>
      <c r="D81" s="840" t="s">
        <v>5</v>
      </c>
      <c r="E81" s="841" t="s">
        <v>5</v>
      </c>
    </row>
    <row r="82" spans="1:5" ht="33" x14ac:dyDescent="0.25">
      <c r="A82" s="169" t="s">
        <v>81</v>
      </c>
      <c r="B82" s="223" t="s">
        <v>166</v>
      </c>
      <c r="C82" s="842" t="s">
        <v>5</v>
      </c>
      <c r="D82" s="843">
        <v>77401372296</v>
      </c>
      <c r="E82" s="844" t="s">
        <v>5</v>
      </c>
    </row>
    <row r="83" spans="1:5" ht="33" x14ac:dyDescent="0.25">
      <c r="A83" s="170" t="s">
        <v>132</v>
      </c>
      <c r="B83" s="224" t="s">
        <v>167</v>
      </c>
      <c r="C83" s="845" t="s">
        <v>5</v>
      </c>
      <c r="D83" s="846"/>
      <c r="E83" s="847" t="s">
        <v>5</v>
      </c>
    </row>
    <row r="84" spans="1:5" ht="49.5" x14ac:dyDescent="0.25">
      <c r="A84" s="171" t="s">
        <v>133</v>
      </c>
      <c r="B84" s="214" t="s">
        <v>158</v>
      </c>
      <c r="C84" s="848" t="s">
        <v>5</v>
      </c>
      <c r="D84" s="849"/>
      <c r="E84" s="850" t="s">
        <v>5</v>
      </c>
    </row>
    <row r="85" spans="1:5" ht="33" x14ac:dyDescent="0.25">
      <c r="A85" s="172" t="s">
        <v>134</v>
      </c>
      <c r="B85" s="198" t="s">
        <v>97</v>
      </c>
      <c r="C85" s="851" t="s">
        <v>5</v>
      </c>
      <c r="D85" s="852"/>
      <c r="E85" s="853" t="s">
        <v>5</v>
      </c>
    </row>
    <row r="86" spans="1:5" ht="49.5" x14ac:dyDescent="0.25">
      <c r="A86" s="83" t="s">
        <v>82</v>
      </c>
      <c r="B86" s="215" t="s">
        <v>159</v>
      </c>
      <c r="C86" s="854" t="s">
        <v>5</v>
      </c>
      <c r="D86" s="855">
        <v>2044966640</v>
      </c>
      <c r="E86" s="856" t="s">
        <v>5</v>
      </c>
    </row>
    <row r="87" spans="1:5" ht="33" x14ac:dyDescent="0.25">
      <c r="A87" s="173" t="s">
        <v>62</v>
      </c>
      <c r="B87" s="225" t="s">
        <v>168</v>
      </c>
      <c r="C87" s="857" t="s">
        <v>5</v>
      </c>
      <c r="D87" s="858">
        <v>478251976</v>
      </c>
      <c r="E87" s="859" t="s">
        <v>5</v>
      </c>
    </row>
    <row r="88" spans="1:5" ht="33" x14ac:dyDescent="0.25">
      <c r="A88" s="174" t="s">
        <v>46</v>
      </c>
      <c r="B88" s="199" t="s">
        <v>146</v>
      </c>
      <c r="C88" s="860" t="s">
        <v>5</v>
      </c>
      <c r="D88" s="861" t="s">
        <v>360</v>
      </c>
      <c r="E88" s="862" t="s">
        <v>5</v>
      </c>
    </row>
    <row r="89" spans="1:5" ht="49.5" x14ac:dyDescent="0.25">
      <c r="A89" s="175" t="s">
        <v>51</v>
      </c>
      <c r="B89" s="112" t="s">
        <v>103</v>
      </c>
      <c r="C89" s="863" t="s">
        <v>5</v>
      </c>
      <c r="D89" s="864">
        <v>20000000000</v>
      </c>
      <c r="E89" s="865" t="s">
        <v>5</v>
      </c>
    </row>
    <row r="90" spans="1:5" ht="33" x14ac:dyDescent="0.25">
      <c r="A90" s="176" t="s">
        <v>52</v>
      </c>
      <c r="B90" s="105" t="s">
        <v>97</v>
      </c>
      <c r="C90" s="866" t="s">
        <v>5</v>
      </c>
      <c r="D90" s="867"/>
      <c r="E90" s="868" t="s">
        <v>5</v>
      </c>
    </row>
    <row r="91" spans="1:5" ht="148.5" x14ac:dyDescent="0.25">
      <c r="A91" s="181" t="s">
        <v>138</v>
      </c>
      <c r="B91" s="217" t="s">
        <v>161</v>
      </c>
      <c r="C91" s="869" t="s">
        <v>5</v>
      </c>
      <c r="D91" s="870" t="s">
        <v>5</v>
      </c>
      <c r="E91" s="871" t="s">
        <v>5</v>
      </c>
    </row>
    <row r="92" spans="1:5" ht="132" x14ac:dyDescent="0.25">
      <c r="A92" s="132"/>
      <c r="B92" s="101" t="s">
        <v>94</v>
      </c>
      <c r="C92" s="872" t="s">
        <v>5</v>
      </c>
      <c r="D92" s="873" t="s">
        <v>5</v>
      </c>
      <c r="E92" s="874" t="s">
        <v>5</v>
      </c>
    </row>
    <row r="93" spans="1:5" ht="33" x14ac:dyDescent="0.25">
      <c r="A93" s="182" t="s">
        <v>139</v>
      </c>
      <c r="B93" s="114" t="s">
        <v>43</v>
      </c>
      <c r="C93" s="875" t="s">
        <v>5</v>
      </c>
      <c r="D93" s="876">
        <v>99924590912</v>
      </c>
      <c r="E93" s="877"/>
    </row>
    <row r="94" spans="1:5" ht="33" x14ac:dyDescent="0.25">
      <c r="A94" s="183" t="s">
        <v>140</v>
      </c>
      <c r="B94" s="113" t="s">
        <v>104</v>
      </c>
      <c r="C94" s="878" t="s">
        <v>5</v>
      </c>
      <c r="D94" s="879" t="s">
        <v>5</v>
      </c>
      <c r="E94" s="880" t="s">
        <v>5</v>
      </c>
    </row>
    <row r="95" spans="1:5" ht="33" x14ac:dyDescent="0.25">
      <c r="A95" s="184" t="s">
        <v>82</v>
      </c>
      <c r="B95" s="115" t="s">
        <v>105</v>
      </c>
      <c r="C95" s="881"/>
      <c r="D95" s="882"/>
      <c r="E95" s="883"/>
    </row>
    <row r="96" spans="1:5" ht="66" x14ac:dyDescent="0.25">
      <c r="A96" s="185" t="s">
        <v>83</v>
      </c>
      <c r="B96" s="47" t="s">
        <v>48</v>
      </c>
      <c r="C96" s="884" t="s">
        <v>5</v>
      </c>
      <c r="D96" s="885"/>
      <c r="E96" s="886" t="s">
        <v>5</v>
      </c>
    </row>
    <row r="97" spans="1:5" ht="66" x14ac:dyDescent="0.25">
      <c r="A97" s="167" t="s">
        <v>90</v>
      </c>
      <c r="B97" s="116" t="s">
        <v>106</v>
      </c>
      <c r="C97" s="887" t="s">
        <v>5</v>
      </c>
      <c r="D97" s="888" t="s">
        <v>5</v>
      </c>
      <c r="E97" s="889" t="s">
        <v>5</v>
      </c>
    </row>
    <row r="98" spans="1:5" ht="82.5" x14ac:dyDescent="0.25">
      <c r="A98" s="130" t="s">
        <v>91</v>
      </c>
      <c r="B98" s="102" t="s">
        <v>95</v>
      </c>
      <c r="C98" s="890" t="s">
        <v>5</v>
      </c>
      <c r="D98" s="891" t="s">
        <v>5</v>
      </c>
      <c r="E98" s="892" t="s">
        <v>5</v>
      </c>
    </row>
    <row r="99" spans="1:5" ht="99" x14ac:dyDescent="0.25">
      <c r="A99" s="61" t="s">
        <v>62</v>
      </c>
      <c r="B99" s="48" t="s">
        <v>49</v>
      </c>
      <c r="C99" s="893" t="s">
        <v>5</v>
      </c>
      <c r="D99" s="894">
        <v>100000000000</v>
      </c>
      <c r="E99" s="895" t="s">
        <v>5</v>
      </c>
    </row>
    <row r="100" spans="1:5" ht="16.5" x14ac:dyDescent="0.25">
      <c r="A100" s="36" t="s">
        <v>176</v>
      </c>
      <c r="B100" s="36" t="s">
        <v>5</v>
      </c>
      <c r="C100" s="896" t="s">
        <v>5</v>
      </c>
      <c r="D100" s="896"/>
      <c r="E100" s="896"/>
    </row>
    <row r="101" spans="1:5" ht="33" x14ac:dyDescent="0.25">
      <c r="A101" s="62" t="s">
        <v>63</v>
      </c>
      <c r="B101" s="103" t="s">
        <v>43</v>
      </c>
      <c r="C101" s="897" t="s">
        <v>5</v>
      </c>
      <c r="D101" s="898">
        <v>100000000000</v>
      </c>
      <c r="E101" s="899"/>
    </row>
    <row r="102" spans="1:5" ht="49.5" x14ac:dyDescent="0.25">
      <c r="A102" s="99"/>
      <c r="B102" s="104" t="s">
        <v>96</v>
      </c>
      <c r="C102" s="900" t="s">
        <v>5</v>
      </c>
      <c r="D102" s="901" t="s">
        <v>5</v>
      </c>
      <c r="E102" s="902">
        <v>3566225779490.6987</v>
      </c>
    </row>
    <row r="104" spans="1:5" ht="17.25" x14ac:dyDescent="0.25">
      <c r="B104" s="231" t="s">
        <v>174</v>
      </c>
    </row>
    <row r="105" spans="1:5" x14ac:dyDescent="0.25">
      <c r="B105" s="1087" t="s">
        <v>175</v>
      </c>
      <c r="C105" s="1088"/>
      <c r="D105" s="1088"/>
      <c r="E105" s="1088"/>
    </row>
    <row r="106" spans="1:5" x14ac:dyDescent="0.25">
      <c r="B106" s="1088"/>
      <c r="C106" s="1088"/>
      <c r="D106" s="1088"/>
      <c r="E106" s="1088"/>
    </row>
    <row r="107" spans="1:5" x14ac:dyDescent="0.25">
      <c r="B107" s="1088"/>
      <c r="C107" s="1088"/>
      <c r="D107" s="1088"/>
      <c r="E107" s="1088"/>
    </row>
    <row r="108" spans="1:5" x14ac:dyDescent="0.25">
      <c r="B108" s="1088"/>
      <c r="C108" s="1088"/>
      <c r="D108" s="1088"/>
      <c r="E108" s="1088"/>
    </row>
    <row r="109" spans="1:5" x14ac:dyDescent="0.25">
      <c r="B109" s="1088"/>
      <c r="C109" s="1088"/>
      <c r="D109" s="1088"/>
      <c r="E109" s="1088"/>
    </row>
    <row r="110" spans="1:5" x14ac:dyDescent="0.25">
      <c r="B110" s="1088"/>
      <c r="C110" s="1088"/>
      <c r="D110" s="1088"/>
      <c r="E110" s="1088"/>
    </row>
    <row r="111" spans="1:5" x14ac:dyDescent="0.25">
      <c r="B111" s="1088"/>
      <c r="C111" s="1088"/>
      <c r="D111" s="1088"/>
      <c r="E111" s="1088"/>
    </row>
    <row r="112" spans="1:5" x14ac:dyDescent="0.25">
      <c r="B112" s="1088"/>
      <c r="C112" s="1088"/>
      <c r="D112" s="1088"/>
      <c r="E112" s="1088"/>
    </row>
    <row r="113" spans="2:5" x14ac:dyDescent="0.25">
      <c r="B113" s="1088"/>
      <c r="C113" s="1088"/>
      <c r="D113" s="1088"/>
      <c r="E113" s="1088"/>
    </row>
    <row r="114" spans="2:5" x14ac:dyDescent="0.25">
      <c r="B114" s="1088"/>
      <c r="C114" s="1088"/>
      <c r="D114" s="1088"/>
      <c r="E114" s="1088"/>
    </row>
    <row r="115" spans="2:5" x14ac:dyDescent="0.25">
      <c r="B115" s="1088"/>
      <c r="C115" s="1088"/>
      <c r="D115" s="1088"/>
      <c r="E115" s="1088"/>
    </row>
    <row r="116" spans="2:5" x14ac:dyDescent="0.25">
      <c r="B116" s="1088"/>
      <c r="C116" s="1088"/>
      <c r="D116" s="1088"/>
      <c r="E116" s="1088"/>
    </row>
    <row r="117" spans="2:5" x14ac:dyDescent="0.25">
      <c r="B117" s="1088"/>
      <c r="C117" s="1088"/>
      <c r="D117" s="1088"/>
      <c r="E117" s="1088"/>
    </row>
    <row r="118" spans="2:5" x14ac:dyDescent="0.25">
      <c r="B118" s="1088"/>
      <c r="C118" s="1088"/>
      <c r="D118" s="1088"/>
      <c r="E118" s="1088"/>
    </row>
    <row r="119" spans="2:5" x14ac:dyDescent="0.25">
      <c r="B119" s="1088"/>
      <c r="C119" s="1088"/>
      <c r="D119" s="1088"/>
      <c r="E119" s="1088"/>
    </row>
    <row r="120" spans="2:5" x14ac:dyDescent="0.25">
      <c r="B120" s="1088"/>
      <c r="C120" s="1088"/>
      <c r="D120" s="1088"/>
      <c r="E120" s="1088"/>
    </row>
    <row r="121" spans="2:5" x14ac:dyDescent="0.25">
      <c r="B121" s="1088"/>
      <c r="C121" s="1088"/>
      <c r="D121" s="1088"/>
      <c r="E121" s="1088"/>
    </row>
    <row r="122" spans="2:5" x14ac:dyDescent="0.25">
      <c r="B122" s="1088"/>
      <c r="C122" s="1088"/>
      <c r="D122" s="1088"/>
      <c r="E122" s="1088"/>
    </row>
    <row r="123" spans="2:5" x14ac:dyDescent="0.25">
      <c r="B123" s="1088"/>
      <c r="C123" s="1088"/>
      <c r="D123" s="1088"/>
      <c r="E123" s="1088"/>
    </row>
    <row r="124" spans="2:5" x14ac:dyDescent="0.25">
      <c r="B124" s="1088"/>
      <c r="C124" s="1088"/>
      <c r="D124" s="1088"/>
      <c r="E124" s="1088"/>
    </row>
    <row r="125" spans="2:5" x14ac:dyDescent="0.25">
      <c r="B125" s="1088"/>
      <c r="C125" s="1088"/>
      <c r="D125" s="1088"/>
      <c r="E125" s="1088"/>
    </row>
    <row r="126" spans="2:5" x14ac:dyDescent="0.25">
      <c r="B126" s="1088"/>
      <c r="C126" s="1088"/>
      <c r="D126" s="1088"/>
      <c r="E126" s="1088"/>
    </row>
    <row r="127" spans="2:5" x14ac:dyDescent="0.25">
      <c r="B127" s="1088"/>
      <c r="C127" s="1088"/>
      <c r="D127" s="1088"/>
      <c r="E127" s="1088"/>
    </row>
    <row r="128" spans="2:5" x14ac:dyDescent="0.25">
      <c r="B128" s="1088"/>
      <c r="C128" s="1088"/>
      <c r="D128" s="1088"/>
      <c r="E128" s="1088"/>
    </row>
    <row r="129" spans="2:5" x14ac:dyDescent="0.25">
      <c r="B129" s="1088"/>
      <c r="C129" s="1088"/>
      <c r="D129" s="1088"/>
      <c r="E129" s="1088"/>
    </row>
    <row r="130" spans="2:5" x14ac:dyDescent="0.25">
      <c r="B130" s="1088"/>
      <c r="C130" s="1088"/>
      <c r="D130" s="1088"/>
      <c r="E130" s="1088"/>
    </row>
    <row r="131" spans="2:5" x14ac:dyDescent="0.25">
      <c r="B131" s="1088"/>
      <c r="C131" s="1088"/>
      <c r="D131" s="1088"/>
      <c r="E131" s="1088"/>
    </row>
    <row r="132" spans="2:5" x14ac:dyDescent="0.25">
      <c r="B132" s="1088"/>
      <c r="C132" s="1088"/>
      <c r="D132" s="1088"/>
      <c r="E132" s="1088"/>
    </row>
    <row r="133" spans="2:5" x14ac:dyDescent="0.25">
      <c r="B133" s="1088"/>
      <c r="C133" s="1088"/>
      <c r="D133" s="1088"/>
      <c r="E133" s="1088"/>
    </row>
    <row r="134" spans="2:5" x14ac:dyDescent="0.25">
      <c r="B134" s="1088"/>
      <c r="C134" s="1088"/>
      <c r="D134" s="1088"/>
      <c r="E134" s="1088"/>
    </row>
    <row r="135" spans="2:5" x14ac:dyDescent="0.25">
      <c r="B135" s="1088"/>
      <c r="C135" s="1088"/>
      <c r="D135" s="1088"/>
      <c r="E135" s="1088"/>
    </row>
  </sheetData>
  <mergeCells count="6">
    <mergeCell ref="B105:E135"/>
    <mergeCell ref="C3:E3"/>
    <mergeCell ref="B3:B4"/>
    <mergeCell ref="A3:A4"/>
    <mergeCell ref="A1:E1"/>
    <mergeCell ref="A2:E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01"/>
  <sheetViews>
    <sheetView workbookViewId="0"/>
  </sheetViews>
  <sheetFormatPr defaultRowHeight="15" x14ac:dyDescent="0.25"/>
  <cols>
    <col min="1" max="1" width="1" style="232" bestFit="1" customWidth="1"/>
    <col min="2" max="5" width="1" bestFit="1" customWidth="1"/>
  </cols>
  <sheetData>
    <row r="5" spans="1:5" x14ac:dyDescent="0.25">
      <c r="A5" t="str">
        <f>CONCATENATE(671465,",",ROW(I_06H01!A5),"|",COLUMN(I_06H01!A5),",0",",0")</f>
        <v>671465,5|1,0,0</v>
      </c>
      <c r="B5" t="str">
        <f>CONCATENATE(671035,",",ROW(I_06H01!B5),"|",COLUMN(I_06H01!B5),",0",",0")</f>
        <v>671035,5|2,0,0</v>
      </c>
      <c r="C5" t="str">
        <f>CONCATENATE(671224,",",ROW(I_06H01!C5),"|",COLUMN(I_06H01!C5),",0",",0")</f>
        <v>671224,5|3,0,0</v>
      </c>
      <c r="D5" t="str">
        <f>CONCATENATE(671329,",",ROW(I_06H01!D5),"|",COLUMN(I_06H01!D5),",0",",0")</f>
        <v>671329,5|4,0,0</v>
      </c>
      <c r="E5" t="str">
        <f>CONCATENATE(671441,",",ROW(I_06H01!E5),"|",COLUMN(I_06H01!E5),",0",",0")</f>
        <v>671441,5|5,0,0</v>
      </c>
    </row>
    <row r="6" spans="1:5" x14ac:dyDescent="0.25">
      <c r="A6" t="str">
        <f>CONCATENATE(671466,",",ROW(I_06H01!A6),"|",COLUMN(I_06H01!A6),",0",",0")</f>
        <v>671466,6|1,0,0</v>
      </c>
      <c r="B6" t="str">
        <f>CONCATENATE(671416,",",ROW(I_06H01!B6),"|",COLUMN(I_06H01!B6),",0",",0")</f>
        <v>671416,6|2,0,0</v>
      </c>
      <c r="C6" t="str">
        <f>CONCATENATE(671419,",",ROW(I_06H01!C6),"|",COLUMN(I_06H01!C6),",0",",0")</f>
        <v>671419,6|3,0,0</v>
      </c>
      <c r="D6" t="str">
        <f>CONCATENATE(671490,",",ROW(I_06H01!D6),"|",COLUMN(I_06H01!D6),",0",",0")</f>
        <v>671490,6|4,0,0</v>
      </c>
      <c r="E6" t="str">
        <f>CONCATENATE(671338,",",ROW(I_06H01!E6),"|",COLUMN(I_06H01!E6),",0",",0")</f>
        <v>671338,6|5,0,0</v>
      </c>
    </row>
    <row r="7" spans="1:5" x14ac:dyDescent="0.25">
      <c r="A7" t="str">
        <f>CONCATENATE(671467,",",ROW(I_06H01!A7),"|",COLUMN(I_06H01!A7),",0",",0")</f>
        <v>671467,7|1,0,0</v>
      </c>
      <c r="B7" t="str">
        <f>CONCATENATE(671300,",",ROW(I_06H01!B7),"|",COLUMN(I_06H01!B7),",0",",0")</f>
        <v>671300,7|2,0,0</v>
      </c>
      <c r="C7" t="str">
        <f>CONCATENATE(671420,",",ROW(I_06H01!C7),"|",COLUMN(I_06H01!C7),",0",",0")</f>
        <v>671420,7|3,0,0</v>
      </c>
      <c r="D7" t="str">
        <f>CONCATENATE(671491,",",ROW(I_06H01!D7),"|",COLUMN(I_06H01!D7),",0",",0")</f>
        <v>671491,7|4,0,0</v>
      </c>
      <c r="E7" t="str">
        <f>CONCATENATE(671339,",",ROW(I_06H01!E7),"|",COLUMN(I_06H01!E7),",0",",0")</f>
        <v>671339,7|5,0,0</v>
      </c>
    </row>
    <row r="8" spans="1:5" x14ac:dyDescent="0.25">
      <c r="A8" t="str">
        <f>CONCATENATE(671468,",",ROW(I_06H01!A8),"|",COLUMN(I_06H01!A8),",0",",0")</f>
        <v>671468,8|1,0,0</v>
      </c>
      <c r="B8" t="str">
        <f>CONCATENATE(671301,",",ROW(I_06H01!B8),"|",COLUMN(I_06H01!B8),",0",",0")</f>
        <v>671301,8|2,0,0</v>
      </c>
      <c r="C8" t="str">
        <f>CONCATENATE(671421,",",ROW(I_06H01!C8),"|",COLUMN(I_06H01!C8),",0",",0")</f>
        <v>671421,8|3,0,0</v>
      </c>
      <c r="D8" t="str">
        <f>CONCATENATE(671492,",",ROW(I_06H01!D8),"|",COLUMN(I_06H01!D8),",0",",0")</f>
        <v>671492,8|4,0,0</v>
      </c>
      <c r="E8" t="str">
        <f>CONCATENATE(671340,",",ROW(I_06H01!E8),"|",COLUMN(I_06H01!E8),",0",",0")</f>
        <v>671340,8|5,0,0</v>
      </c>
    </row>
    <row r="9" spans="1:5" x14ac:dyDescent="0.25">
      <c r="A9" t="str">
        <f>CONCATENATE(671469,",",ROW(I_06H01!A9),"|",COLUMN(I_06H01!A9),",0",",0")</f>
        <v>671469,9|1,0,0</v>
      </c>
      <c r="B9" t="str">
        <f>CONCATENATE(671326,",",ROW(I_06H01!B9),"|",COLUMN(I_06H01!B9),",0",",0")</f>
        <v>671326,9|2,0,0</v>
      </c>
      <c r="C9" t="str">
        <f>CONCATENATE(671418,",",ROW(I_06H01!C9),"|",COLUMN(I_06H01!C9),",0",",0")</f>
        <v>671418,9|3,0,0</v>
      </c>
      <c r="D9" t="str">
        <f>CONCATENATE(671489,",",ROW(I_06H01!D9),"|",COLUMN(I_06H01!D9),",0",",0")</f>
        <v>671489,9|4,0,0</v>
      </c>
      <c r="E9" t="str">
        <f>CONCATENATE(671337,",",ROW(I_06H01!E9),"|",COLUMN(I_06H01!E9),",0",",0")</f>
        <v>671337,9|5,0,0</v>
      </c>
    </row>
    <row r="10" spans="1:5" x14ac:dyDescent="0.25">
      <c r="A10" t="str">
        <f>CONCATENATE(671470,",",ROW(I_06H01!A10),"|",COLUMN(I_06H01!A10),",0",",0")</f>
        <v>671470,10|1,0,0</v>
      </c>
      <c r="B10" t="str">
        <f>CONCATENATE(671238,",",ROW(I_06H01!B10),"|",COLUMN(I_06H01!B10),",0",",0")</f>
        <v>671238,10|2,0,0</v>
      </c>
      <c r="C10" t="str">
        <f>CONCATENATE(671104,",",ROW(I_06H01!C10),"|",COLUMN(I_06H01!C10),",0",",0")</f>
        <v>671104,10|3,0,0</v>
      </c>
      <c r="D10" t="str">
        <f>CONCATENATE(671330,",",ROW(I_06H01!D10),"|",COLUMN(I_06H01!D10),",0",",0")</f>
        <v>671330,10|4,0,0</v>
      </c>
      <c r="E10" t="str">
        <f>CONCATENATE(671442,",",ROW(I_06H01!E10),"|",COLUMN(I_06H01!E10),",0",",0")</f>
        <v>671442,10|5,0,0</v>
      </c>
    </row>
    <row r="11" spans="1:5" x14ac:dyDescent="0.25">
      <c r="A11" t="str">
        <f>CONCATENATE(671471,",",ROW(I_06H01!A11),"|",COLUMN(I_06H01!A11),",0",",0")</f>
        <v>671471,11|1,0,0</v>
      </c>
      <c r="B11" t="str">
        <f>CONCATENATE(671186,",",ROW(I_06H01!B11),"|",COLUMN(I_06H01!B11),",0",",0")</f>
        <v>671186,11|2,0,0</v>
      </c>
      <c r="C11" t="str">
        <f>CONCATENATE(671422,",",ROW(I_06H01!C11),"|",COLUMN(I_06H01!C11),",0",",0")</f>
        <v>671422,11|3,0,0</v>
      </c>
      <c r="D11" t="str">
        <f>CONCATENATE(671493,",",ROW(I_06H01!D11),"|",COLUMN(I_06H01!D11),",0",",0")</f>
        <v>671493,11|4,0,0</v>
      </c>
      <c r="E11" t="str">
        <f>CONCATENATE(671341,",",ROW(I_06H01!E11),"|",COLUMN(I_06H01!E11),",0",",0")</f>
        <v>671341,11|5,0,0</v>
      </c>
    </row>
    <row r="12" spans="1:5" x14ac:dyDescent="0.25">
      <c r="A12" t="str">
        <f>CONCATENATE(671472,",",ROW(I_06H01!A12),"|",COLUMN(I_06H01!A12),",0",",0")</f>
        <v>671472,12|1,0,0</v>
      </c>
      <c r="B12" t="str">
        <f>CONCATENATE(671241,",",ROW(I_06H01!B12),"|",COLUMN(I_06H01!B12),",0",",0")</f>
        <v>671241,12|2,0,0</v>
      </c>
      <c r="C12" t="str">
        <f>CONCATENATE(671105,",",ROW(I_06H01!C12),"|",COLUMN(I_06H01!C12),",0",",0")</f>
        <v>671105,12|3,0,0</v>
      </c>
      <c r="D12" t="str">
        <f>CONCATENATE(671331,",",ROW(I_06H01!D12),"|",COLUMN(I_06H01!D12),",0",",0")</f>
        <v>671331,12|4,0,0</v>
      </c>
      <c r="E12" t="str">
        <f>CONCATENATE(671485,",",ROW(I_06H01!E12),"|",COLUMN(I_06H01!E12),",0",",0")</f>
        <v>671485,12|5,0,0</v>
      </c>
    </row>
    <row r="13" spans="1:5" x14ac:dyDescent="0.25">
      <c r="A13" t="str">
        <f>CONCATENATE(671484,",",ROW(I_06H01!A13),"|",COLUMN(I_06H01!A13),",0",",0")</f>
        <v>671484,13|1,0,0</v>
      </c>
      <c r="B13" t="str">
        <f>CONCATENATE(671502,",",ROW(I_06H01!B13),"|",COLUMN(I_06H01!B13),",0",",0")</f>
        <v>671502,13|2,0,0</v>
      </c>
      <c r="C13" t="str">
        <f>CONCATENATE(671106,",",ROW(I_06H01!C13),"|",COLUMN(I_06H01!C13),",0",",0")</f>
        <v>671106,13|3,0,0</v>
      </c>
      <c r="D13" t="str">
        <f>CONCATENATE(671332,",",ROW(I_06H01!D13),"|",COLUMN(I_06H01!D13),",0",",0")</f>
        <v>671332,13|4,0,0</v>
      </c>
      <c r="E13" t="str">
        <f>CONCATENATE(671486,",",ROW(I_06H01!E13),"|",COLUMN(I_06H01!E13),",0",",0")</f>
        <v>671486,13|5,0,0</v>
      </c>
    </row>
    <row r="14" spans="1:5" x14ac:dyDescent="0.25">
      <c r="A14" t="str">
        <f>CONCATENATE(671204,",",ROW(I_06H01!A14),"|",COLUMN(I_06H01!A14),",0",",0")</f>
        <v>671204,14|1,0,0</v>
      </c>
      <c r="B14" t="str">
        <f>CONCATENATE(671503,",",ROW(I_06H01!B14),"|",COLUMN(I_06H01!B14),",0",",0")</f>
        <v>671503,14|2,0,0</v>
      </c>
      <c r="C14" t="str">
        <f>CONCATENATE(671107,",",ROW(I_06H01!C14),"|",COLUMN(I_06H01!C14),",0",",0")</f>
        <v>671107,14|3,0,0</v>
      </c>
      <c r="D14" t="str">
        <f>CONCATENATE(671333,",",ROW(I_06H01!D14),"|",COLUMN(I_06H01!D14),",0",",0")</f>
        <v>671333,14|4,0,0</v>
      </c>
      <c r="E14" t="str">
        <f>CONCATENATE(671487,",",ROW(I_06H01!E14),"|",COLUMN(I_06H01!E14),",0",",0")</f>
        <v>671487,14|5,0,0</v>
      </c>
    </row>
    <row r="15" spans="1:5" x14ac:dyDescent="0.25">
      <c r="A15" t="str">
        <f>CONCATENATE(671205,",",ROW(I_06H01!A15),"|",COLUMN(I_06H01!A15),",0",",0")</f>
        <v>671205,15|1,0,0</v>
      </c>
      <c r="B15" t="str">
        <f>CONCATENATE(671027,",",ROW(I_06H01!B15),"|",COLUMN(I_06H01!B15),",0",",0")</f>
        <v>671027,15|2,0,0</v>
      </c>
      <c r="C15" t="str">
        <f>CONCATENATE(671423,",",ROW(I_06H01!C15),"|",COLUMN(I_06H01!C15),",0",",0")</f>
        <v>671423,15|3,0,0</v>
      </c>
      <c r="D15" t="str">
        <f>CONCATENATE(671494,",",ROW(I_06H01!D15),"|",COLUMN(I_06H01!D15),",0",",0")</f>
        <v>671494,15|4,0,0</v>
      </c>
      <c r="E15" t="str">
        <f>CONCATENATE(671342,",",ROW(I_06H01!E15),"|",COLUMN(I_06H01!E15),",0",",0")</f>
        <v>671342,15|5,0,0</v>
      </c>
    </row>
    <row r="16" spans="1:5" x14ac:dyDescent="0.25">
      <c r="A16" t="str">
        <f>CONCATENATE(671206,",",ROW(I_06H01!A16),"|",COLUMN(I_06H01!A16),",0",",0")</f>
        <v>671206,16|1,0,0</v>
      </c>
      <c r="B16" t="str">
        <f>CONCATENATE(671239,",",ROW(I_06H01!B16),"|",COLUMN(I_06H01!B16),",0",",0")</f>
        <v>671239,16|2,0,0</v>
      </c>
      <c r="C16" t="str">
        <f>CONCATENATE(671108,",",ROW(I_06H01!C16),"|",COLUMN(I_06H01!C16),",0",",0")</f>
        <v>671108,16|3,0,0</v>
      </c>
      <c r="D16" t="str">
        <f>CONCATENATE(671334,",",ROW(I_06H01!D16),"|",COLUMN(I_06H01!D16),",0",",0")</f>
        <v>671334,16|4,0,0</v>
      </c>
      <c r="E16" t="str">
        <f>CONCATENATE(671172,",",ROW(I_06H01!E16),"|",COLUMN(I_06H01!E16),",0",",0")</f>
        <v>671172,16|5,0,0</v>
      </c>
    </row>
    <row r="17" spans="1:5" x14ac:dyDescent="0.25">
      <c r="A17" t="str">
        <f>CONCATENATE(671118,",",ROW(I_06H01!A17),"|",COLUMN(I_06H01!A17),",0",",0")</f>
        <v>671118,17|1,0,0</v>
      </c>
      <c r="B17" t="str">
        <f>CONCATENATE(671240,",",ROW(I_06H01!B17),"|",COLUMN(I_06H01!B17),",0",",0")</f>
        <v>671240,17|2,0,0</v>
      </c>
      <c r="C17" t="str">
        <f>CONCATENATE(671109,",",ROW(I_06H01!C17),"|",COLUMN(I_06H01!C17),",0",",0")</f>
        <v>671109,17|3,0,0</v>
      </c>
      <c r="D17" t="str">
        <f>CONCATENATE(671335,",",ROW(I_06H01!D17),"|",COLUMN(I_06H01!D17),",0",",0")</f>
        <v>671335,17|4,0,0</v>
      </c>
      <c r="E17" t="str">
        <f>CONCATENATE(671173,",",ROW(I_06H01!E17),"|",COLUMN(I_06H01!E17),",0",",0")</f>
        <v>671173,17|5,0,0</v>
      </c>
    </row>
    <row r="18" spans="1:5" x14ac:dyDescent="0.25">
      <c r="A18" t="str">
        <f>CONCATENATE(671119,",",ROW(I_06H01!A18),"|",COLUMN(I_06H01!A18),",0",",0")</f>
        <v>671119,18|1,0,0</v>
      </c>
      <c r="B18" t="str">
        <f>CONCATENATE(671242,",",ROW(I_06H01!B18),"|",COLUMN(I_06H01!B18),",0",",0")</f>
        <v>671242,18|2,0,0</v>
      </c>
      <c r="C18" t="str">
        <f>CONCATENATE(671110,",",ROW(I_06H01!C18),"|",COLUMN(I_06H01!C18),",0",",0")</f>
        <v>671110,18|3,0,0</v>
      </c>
      <c r="D18" t="str">
        <f>CONCATENATE(671336,",",ROW(I_06H01!D18),"|",COLUMN(I_06H01!D18),",0",",0")</f>
        <v>671336,18|4,0,0</v>
      </c>
      <c r="E18" t="str">
        <f>CONCATENATE(671174,",",ROW(I_06H01!E18),"|",COLUMN(I_06H01!E18),",0",",0")</f>
        <v>671174,18|5,0,0</v>
      </c>
    </row>
    <row r="19" spans="1:5" x14ac:dyDescent="0.25">
      <c r="A19" t="str">
        <f>CONCATENATE(671120,",",ROW(I_06H01!A19),"|",COLUMN(I_06H01!A19),",0",",0")</f>
        <v>671120,19|1,0,0</v>
      </c>
      <c r="B19" t="str">
        <f>CONCATENATE(671028,",",ROW(I_06H01!B19),"|",COLUMN(I_06H01!B19),",0",",0")</f>
        <v>671028,19|2,0,0</v>
      </c>
      <c r="C19" t="str">
        <f>CONCATENATE(671424,",",ROW(I_06H01!C19),"|",COLUMN(I_06H01!C19),",0",",0")</f>
        <v>671424,19|3,0,0</v>
      </c>
      <c r="D19" t="str">
        <f>CONCATENATE(671495,",",ROW(I_06H01!D19),"|",COLUMN(I_06H01!D19),",0",",0")</f>
        <v>671495,19|4,0,0</v>
      </c>
      <c r="E19" t="str">
        <f>CONCATENATE(671343,",",ROW(I_06H01!E19),"|",COLUMN(I_06H01!E19),",0",",0")</f>
        <v>671343,19|5,0,0</v>
      </c>
    </row>
    <row r="20" spans="1:5" x14ac:dyDescent="0.25">
      <c r="A20" t="str">
        <f>CONCATENATE(671121,",",ROW(I_06H01!A20),"|",COLUMN(I_06H01!A20),",0",",0")</f>
        <v>671121,20|1,0,0</v>
      </c>
      <c r="B20" t="str">
        <f>CONCATENATE(671504,",",ROW(I_06H01!B20),"|",COLUMN(I_06H01!B20),",0",",0")</f>
        <v>671504,20|2,0,0</v>
      </c>
      <c r="C20" t="str">
        <f>CONCATENATE(671111,",",ROW(I_06H01!C20),"|",COLUMN(I_06H01!C20),",0",",0")</f>
        <v>671111,20|3,0,0</v>
      </c>
      <c r="D20" t="str">
        <f>CONCATENATE(671288,",",ROW(I_06H01!D20),"|",COLUMN(I_06H01!D20),",0",",0")</f>
        <v>671288,20|4,0,0</v>
      </c>
      <c r="E20" t="str">
        <f>CONCATENATE(671175,",",ROW(I_06H01!E20),"|",COLUMN(I_06H01!E20),",0",",0")</f>
        <v>671175,20|5,0,0</v>
      </c>
    </row>
    <row r="21" spans="1:5" x14ac:dyDescent="0.25">
      <c r="A21" t="str">
        <f>CONCATENATE(671122,",",ROW(I_06H01!A21),"|",COLUMN(I_06H01!A21),",0",",0")</f>
        <v>671122,21|1,0,0</v>
      </c>
      <c r="B21" t="str">
        <f>CONCATENATE(671505,",",ROW(I_06H01!B21),"|",COLUMN(I_06H01!B21),",0",",0")</f>
        <v>671505,21|2,0,0</v>
      </c>
      <c r="C21" t="str">
        <f>CONCATENATE(671112,",",ROW(I_06H01!C21),"|",COLUMN(I_06H01!C21),",0",",0")</f>
        <v>671112,21|3,0,0</v>
      </c>
      <c r="D21" t="str">
        <f>CONCATENATE(671289,",",ROW(I_06H01!D21),"|",COLUMN(I_06H01!D21),",0",",0")</f>
        <v>671289,21|4,0,0</v>
      </c>
      <c r="E21" t="str">
        <f>CONCATENATE(671283,",",ROW(I_06H01!E21),"|",COLUMN(I_06H01!E21),",0",",0")</f>
        <v>671283,21|5,0,0</v>
      </c>
    </row>
    <row r="22" spans="1:5" x14ac:dyDescent="0.25">
      <c r="A22" t="str">
        <f>CONCATENATE(671233,",",ROW(I_06H01!A22),"|",COLUMN(I_06H01!A22),",0",",0")</f>
        <v>671233,22|1,0,0</v>
      </c>
      <c r="B22" t="str">
        <f>CONCATENATE(671029,",",ROW(I_06H01!B22),"|",COLUMN(I_06H01!B22),",0",",0")</f>
        <v>671029,22|2,0,0</v>
      </c>
      <c r="C22" t="str">
        <f>CONCATENATE(671425,",",ROW(I_06H01!C22),"|",COLUMN(I_06H01!C22),",0",",0")</f>
        <v>671425,22|3,0,0</v>
      </c>
      <c r="D22" t="str">
        <f>CONCATENATE(671496,",",ROW(I_06H01!D22),"|",COLUMN(I_06H01!D22),",0",",0")</f>
        <v>671496,22|4,0,0</v>
      </c>
      <c r="E22" t="str">
        <f>CONCATENATE(671089,",",ROW(I_06H01!E22),"|",COLUMN(I_06H01!E22),",0",",0")</f>
        <v>671089,22|5,0,0</v>
      </c>
    </row>
    <row r="23" spans="1:5" x14ac:dyDescent="0.25">
      <c r="A23" t="str">
        <f>CONCATENATE(671234,",",ROW(I_06H01!A23),"|",COLUMN(I_06H01!A23),",0",",0")</f>
        <v>671234,23|1,0,0</v>
      </c>
      <c r="B23" t="str">
        <f>CONCATENATE(671030,",",ROW(I_06H01!B23),"|",COLUMN(I_06H01!B23),",0",",0")</f>
        <v>671030,23|2,0,0</v>
      </c>
      <c r="C23" t="str">
        <f>CONCATENATE(671426,",",ROW(I_06H01!C23),"|",COLUMN(I_06H01!C23),",0",",0")</f>
        <v>671426,23|3,0,0</v>
      </c>
      <c r="D23" t="str">
        <f>CONCATENATE(671497,",",ROW(I_06H01!D23),"|",COLUMN(I_06H01!D23),",0",",0")</f>
        <v>671497,23|4,0,0</v>
      </c>
      <c r="E23" t="str">
        <f>CONCATENATE(671090,",",ROW(I_06H01!E23),"|",COLUMN(I_06H01!E23),",0",",0")</f>
        <v>671090,23|5,0,0</v>
      </c>
    </row>
    <row r="24" spans="1:5" x14ac:dyDescent="0.25">
      <c r="A24" t="str">
        <f>CONCATENATE(671194,",",ROW(I_06H01!A24),"|",COLUMN(I_06H01!A24),",0",",0")</f>
        <v>671194,24|1,0,0</v>
      </c>
      <c r="B24" t="str">
        <f>CONCATENATE(671084,",",ROW(I_06H01!B24),"|",COLUMN(I_06H01!B24),",0",",0")</f>
        <v>671084,24|2,0,0</v>
      </c>
      <c r="C24" t="str">
        <f>CONCATENATE(671113,",",ROW(I_06H01!C24),"|",COLUMN(I_06H01!C24),",0",",0")</f>
        <v>671113,24|3,0,0</v>
      </c>
      <c r="D24" t="str">
        <f>CONCATENATE(671290,",",ROW(I_06H01!D24),"|",COLUMN(I_06H01!D24),",0",",0")</f>
        <v>671290,24|4,0,0</v>
      </c>
      <c r="E24" t="str">
        <f>CONCATENATE(671284,",",ROW(I_06H01!E24),"|",COLUMN(I_06H01!E24),",0",",0")</f>
        <v>671284,24|5,0,0</v>
      </c>
    </row>
    <row r="25" spans="1:5" x14ac:dyDescent="0.25">
      <c r="A25" t="str">
        <f>CONCATENATE(671195,",",ROW(I_06H01!A25),"|",COLUMN(I_06H01!A25),",0",",0")</f>
        <v>671195,25|1,0,0</v>
      </c>
      <c r="B25" t="str">
        <f>CONCATENATE(671085,",",ROW(I_06H01!B25),"|",COLUMN(I_06H01!B25),",0",",0")</f>
        <v>671085,25|2,0,0</v>
      </c>
      <c r="C25" t="str">
        <f>CONCATENATE(671114,",",ROW(I_06H01!C25),"|",COLUMN(I_06H01!C25),",0",",0")</f>
        <v>671114,25|3,0,0</v>
      </c>
      <c r="D25" t="str">
        <f>CONCATENATE(671291,",",ROW(I_06H01!D25),"|",COLUMN(I_06H01!D25),",0",",0")</f>
        <v>671291,25|4,0,0</v>
      </c>
      <c r="E25" t="str">
        <f>CONCATENATE(671285,",",ROW(I_06H01!E25),"|",COLUMN(I_06H01!E25),",0",",0")</f>
        <v>671285,25|5,0,0</v>
      </c>
    </row>
    <row r="26" spans="1:5" x14ac:dyDescent="0.25">
      <c r="A26" t="str">
        <f>CONCATENATE(671196,",",ROW(I_06H01!A26),"|",COLUMN(I_06H01!A26),",0",",0")</f>
        <v>671196,26|1,0,0</v>
      </c>
      <c r="B26" t="str">
        <f>CONCATENATE(671243,",",ROW(I_06H01!B26),"|",COLUMN(I_06H01!B26),",0",",0")</f>
        <v>671243,26|2,0,0</v>
      </c>
      <c r="C26" t="str">
        <f>CONCATENATE(671115,",",ROW(I_06H01!C26),"|",COLUMN(I_06H01!C26),",0",",0")</f>
        <v>671115,26|3,0,0</v>
      </c>
      <c r="D26" t="str">
        <f>CONCATENATE(671292,",",ROW(I_06H01!D26),"|",COLUMN(I_06H01!D26),",0",",0")</f>
        <v>671292,26|4,0,0</v>
      </c>
      <c r="E26" t="str">
        <f>CONCATENATE(671286,",",ROW(I_06H01!E26),"|",COLUMN(I_06H01!E26),",0",",0")</f>
        <v>671286,26|5,0,0</v>
      </c>
    </row>
    <row r="27" spans="1:5" x14ac:dyDescent="0.25">
      <c r="A27" t="str">
        <f>CONCATENATE(671270,",",ROW(I_06H01!A27),"|",COLUMN(I_06H01!A27),",0",",0")</f>
        <v>671270,27|1,0,0</v>
      </c>
      <c r="B27" t="str">
        <f>CONCATENATE(671086,",",ROW(I_06H01!B27),"|",COLUMN(I_06H01!B27),",0",",0")</f>
        <v>671086,27|2,0,0</v>
      </c>
      <c r="C27" t="str">
        <f>CONCATENATE(671116,",",ROW(I_06H01!C27),"|",COLUMN(I_06H01!C27),",0",",0")</f>
        <v>671116,27|3,0,0</v>
      </c>
      <c r="D27" t="str">
        <f>CONCATENATE(671293,",",ROW(I_06H01!D27),"|",COLUMN(I_06H01!D27),",0",",0")</f>
        <v>671293,27|4,0,0</v>
      </c>
      <c r="E27" t="str">
        <f>CONCATENATE(671287,",",ROW(I_06H01!E27),"|",COLUMN(I_06H01!E27),",0",",0")</f>
        <v>671287,27|5,0,0</v>
      </c>
    </row>
    <row r="28" spans="1:5" x14ac:dyDescent="0.25">
      <c r="A28" t="str">
        <f>CONCATENATE(671271,",",ROW(I_06H01!A28),"|",COLUMN(I_06H01!A28),",0",",0")</f>
        <v>671271,28|1,0,0</v>
      </c>
      <c r="B28" t="str">
        <f>CONCATENATE(671244,",",ROW(I_06H01!B28),"|",COLUMN(I_06H01!B28),",0",",0")</f>
        <v>671244,28|2,0,0</v>
      </c>
      <c r="C28" t="str">
        <f>CONCATENATE(671117,",",ROW(I_06H01!C28),"|",COLUMN(I_06H01!C28),",0",",0")</f>
        <v>671117,28|3,0,0</v>
      </c>
      <c r="D28" t="str">
        <f>CONCATENATE(671060,",",ROW(I_06H01!D28),"|",COLUMN(I_06H01!D28),",0",",0")</f>
        <v>671060,28|4,0,0</v>
      </c>
      <c r="E28" t="str">
        <f>CONCATENATE(671041,",",ROW(I_06H01!E28),"|",COLUMN(I_06H01!E28),",0",",0")</f>
        <v>671041,28|5,0,0</v>
      </c>
    </row>
    <row r="29" spans="1:5" x14ac:dyDescent="0.25">
      <c r="A29" t="str">
        <f>CONCATENATE(671272,",",ROW(I_06H01!A29),"|",COLUMN(I_06H01!A29),",0",",0")</f>
        <v>671272,29|1,0,0</v>
      </c>
      <c r="B29" t="str">
        <f>CONCATENATE(671245,",",ROW(I_06H01!B29),"|",COLUMN(I_06H01!B29),",0",",0")</f>
        <v>671245,29|2,0,0</v>
      </c>
      <c r="C29" t="str">
        <f>CONCATENATE(671370,",",ROW(I_06H01!C29),"|",COLUMN(I_06H01!C29),",0",",0")</f>
        <v>671370,29|3,0,0</v>
      </c>
      <c r="D29" t="str">
        <f>CONCATENATE(671061,",",ROW(I_06H01!D29),"|",COLUMN(I_06H01!D29),",0",",0")</f>
        <v>671061,29|4,0,0</v>
      </c>
      <c r="E29" t="str">
        <f>CONCATENATE(671042,",",ROW(I_06H01!E29),"|",COLUMN(I_06H01!E29),",0",",0")</f>
        <v>671042,29|5,0,0</v>
      </c>
    </row>
    <row r="30" spans="1:5" x14ac:dyDescent="0.25">
      <c r="A30" t="str">
        <f>CONCATENATE(671273,",",ROW(I_06H01!A30),"|",COLUMN(I_06H01!A30),",0",",0")</f>
        <v>671273,30|1,0,0</v>
      </c>
      <c r="B30" t="str">
        <f>CONCATENATE(671031,",",ROW(I_06H01!B30),"|",COLUMN(I_06H01!B30),",0",",0")</f>
        <v>671031,30|2,0,0</v>
      </c>
      <c r="C30" t="str">
        <f>CONCATENATE(671427,",",ROW(I_06H01!C30),"|",COLUMN(I_06H01!C30),",0",",0")</f>
        <v>671427,30|3,0,0</v>
      </c>
      <c r="D30" t="str">
        <f>CONCATENATE(671498,",",ROW(I_06H01!D30),"|",COLUMN(I_06H01!D30),",0",",0")</f>
        <v>671498,30|4,0,0</v>
      </c>
      <c r="E30" t="str">
        <f>CONCATENATE(671091,",",ROW(I_06H01!E30),"|",COLUMN(I_06H01!E30),",0",",0")</f>
        <v>671091,30|5,0,0</v>
      </c>
    </row>
    <row r="31" spans="1:5" x14ac:dyDescent="0.25">
      <c r="A31" t="str">
        <f>CONCATENATE(671276,",",ROW(I_06H01!A31),"|",COLUMN(I_06H01!A31),",0",",0")</f>
        <v>671276,31|1,0,0</v>
      </c>
      <c r="B31" t="str">
        <f>CONCATENATE(671181,",",ROW(I_06H01!B31),"|",COLUMN(I_06H01!B31),",0",",0")</f>
        <v>671181,31|2,0,0</v>
      </c>
      <c r="C31" t="str">
        <f>CONCATENATE(671429,",",ROW(I_06H01!C31),"|",COLUMN(I_06H01!C31),",0",",0")</f>
        <v>671429,31|3,0,0</v>
      </c>
      <c r="D31" t="str">
        <f>CONCATENATE(671499,",",ROW(I_06H01!D31),"|",COLUMN(I_06H01!D31),",0",",0")</f>
        <v>671499,31|4,0,0</v>
      </c>
      <c r="E31" t="str">
        <f>CONCATENATE(671092,",",ROW(I_06H01!E31),"|",COLUMN(I_06H01!E31),",0",",0")</f>
        <v>671092,31|5,0,0</v>
      </c>
    </row>
    <row r="32" spans="1:5" x14ac:dyDescent="0.25">
      <c r="A32" t="str">
        <f>CONCATENATE(671277,",",ROW(I_06H01!A32),"|",COLUMN(I_06H01!A32),",0",",0")</f>
        <v>671277,32|1,0,0</v>
      </c>
      <c r="B32" t="str">
        <f>CONCATENATE(671087,",",ROW(I_06H01!B32),"|",COLUMN(I_06H01!B32),",0",",0")</f>
        <v>671087,32|2,0,0</v>
      </c>
      <c r="C32" t="str">
        <f>CONCATENATE(671371,",",ROW(I_06H01!C32),"|",COLUMN(I_06H01!C32),",0",",0")</f>
        <v>671371,32|3,0,0</v>
      </c>
      <c r="D32" t="str">
        <f>CONCATENATE(671062,",",ROW(I_06H01!D32),"|",COLUMN(I_06H01!D32),",0",",0")</f>
        <v>671062,32|4,0,0</v>
      </c>
      <c r="E32" t="str">
        <f>CONCATENATE(671043,",",ROW(I_06H01!E32),"|",COLUMN(I_06H01!E32),",0",",0")</f>
        <v>671043,32|5,0,0</v>
      </c>
    </row>
    <row r="33" spans="1:5" x14ac:dyDescent="0.25">
      <c r="A33" t="str">
        <f>CONCATENATE(671278,",",ROW(I_06H01!A33),"|",COLUMN(I_06H01!A33),",0",",0")</f>
        <v>671278,33|1,0,0</v>
      </c>
      <c r="B33" t="str">
        <f>CONCATENATE(671088,",",ROW(I_06H01!B33),"|",COLUMN(I_06H01!B33),",0",",0")</f>
        <v>671088,33|2,0,0</v>
      </c>
      <c r="C33" t="str">
        <f>CONCATENATE(671372,",",ROW(I_06H01!C33),"|",COLUMN(I_06H01!C33),",0",",0")</f>
        <v>671372,33|3,0,0</v>
      </c>
      <c r="D33" t="str">
        <f>CONCATENATE(671063,",",ROW(I_06H01!D33),"|",COLUMN(I_06H01!D33),",0",",0")</f>
        <v>671063,33|4,0,0</v>
      </c>
      <c r="E33" t="str">
        <f>CONCATENATE(671044,",",ROW(I_06H01!E33),"|",COLUMN(I_06H01!E33),",0",",0")</f>
        <v>671044,33|5,0,0</v>
      </c>
    </row>
    <row r="34" spans="1:5" x14ac:dyDescent="0.25">
      <c r="A34" t="str">
        <f>CONCATENATE(671279,",",ROW(I_06H01!A34),"|",COLUMN(I_06H01!A34),",0",",0")</f>
        <v>671279,34|1,0,0</v>
      </c>
      <c r="B34" t="str">
        <f>CONCATENATE(671454,",",ROW(I_06H01!B34),"|",COLUMN(I_06H01!B34),",0",",0")</f>
        <v>671454,34|2,0,0</v>
      </c>
      <c r="C34" t="str">
        <f>CONCATENATE(671373,",",ROW(I_06H01!C34),"|",COLUMN(I_06H01!C34),",0",",0")</f>
        <v>671373,34|3,0,0</v>
      </c>
      <c r="D34" t="str">
        <f>CONCATENATE(671064,",",ROW(I_06H01!D34),"|",COLUMN(I_06H01!D34),",0",",0")</f>
        <v>671064,34|4,0,0</v>
      </c>
      <c r="E34" t="str">
        <f>CONCATENATE(671045,",",ROW(I_06H01!E34),"|",COLUMN(I_06H01!E34),",0",",0")</f>
        <v>671045,34|5,0,0</v>
      </c>
    </row>
    <row r="35" spans="1:5" x14ac:dyDescent="0.25">
      <c r="A35" t="str">
        <f>CONCATENATE(671246,",",ROW(I_06H01!A35),"|",COLUMN(I_06H01!A35),",0",",0")</f>
        <v>671246,35|1,0,0</v>
      </c>
      <c r="B35" t="str">
        <f>CONCATENATE(671325,",",ROW(I_06H01!B35),"|",COLUMN(I_06H01!B35),",0",",0")</f>
        <v>671325,35|2,0,0</v>
      </c>
      <c r="C35" t="str">
        <f>CONCATENATE(671417,",",ROW(I_06H01!C35),"|",COLUMN(I_06H01!C35),",0",",0")</f>
        <v>671417,35|3,0,0</v>
      </c>
      <c r="D35" t="str">
        <f>CONCATENATE(671488,",",ROW(I_06H01!D35),"|",COLUMN(I_06H01!D35),",0",",0")</f>
        <v>671488,35|4,0,0</v>
      </c>
      <c r="E35" t="str">
        <f>CONCATENATE(671040,",",ROW(I_06H01!E35),"|",COLUMN(I_06H01!E35),",0",",0")</f>
        <v>671040,35|5,0,0</v>
      </c>
    </row>
    <row r="36" spans="1:5" x14ac:dyDescent="0.25">
      <c r="A36" t="str">
        <f>CONCATENATE(671280,",",ROW(I_06H01!A36),"|",COLUMN(I_06H01!A36),",0",",0")</f>
        <v>671280,36|1,0,0</v>
      </c>
      <c r="B36" t="str">
        <f>CONCATENATE(671297,",",ROW(I_06H01!B36),"|",COLUMN(I_06H01!B36),",0",",0")</f>
        <v>671297,36|2,0,0</v>
      </c>
      <c r="C36" t="str">
        <f>CONCATENATE(671374,",",ROW(I_06H01!C36),"|",COLUMN(I_06H01!C36),",0",",0")</f>
        <v>671374,36|3,0,0</v>
      </c>
      <c r="D36" t="str">
        <f>CONCATENATE(671065,",",ROW(I_06H01!D36),"|",COLUMN(I_06H01!D36),",0",",0")</f>
        <v>671065,36|4,0,0</v>
      </c>
      <c r="E36" t="str">
        <f>CONCATENATE(671046,",",ROW(I_06H01!E36),"|",COLUMN(I_06H01!E36),",0",",0")</f>
        <v>671046,36|5,0,0</v>
      </c>
    </row>
    <row r="37" spans="1:5" x14ac:dyDescent="0.25">
      <c r="A37" t="str">
        <f>CONCATENATE(671281,",",ROW(I_06H01!A37),"|",COLUMN(I_06H01!A37),",0",",0")</f>
        <v>671281,37|1,0,0</v>
      </c>
      <c r="B37" t="str">
        <f>CONCATENATE(671444,",",ROW(I_06H01!B37),"|",COLUMN(I_06H01!B37),",0",",0")</f>
        <v>671444,37|2,0,0</v>
      </c>
      <c r="C37" t="str">
        <f>CONCATENATE(671430,",",ROW(I_06H01!C37),"|",COLUMN(I_06H01!C37),",0",",0")</f>
        <v>671430,37|3,0,0</v>
      </c>
      <c r="D37" t="str">
        <f>CONCATENATE(671500,",",ROW(I_06H01!D37),"|",COLUMN(I_06H01!D37),",0",",0")</f>
        <v>671500,37|4,0,0</v>
      </c>
      <c r="E37" t="str">
        <f>CONCATENATE(671093,",",ROW(I_06H01!E37),"|",COLUMN(I_06H01!E37),",0",",0")</f>
        <v>671093,37|5,0,0</v>
      </c>
    </row>
    <row r="38" spans="1:5" x14ac:dyDescent="0.25">
      <c r="A38" t="str">
        <f>CONCATENATE(671282,",",ROW(I_06H01!A38),"|",COLUMN(I_06H01!A38),",0",",0")</f>
        <v>671282,38|1,0,0</v>
      </c>
      <c r="B38" t="str">
        <f>CONCATENATE(671298,",",ROW(I_06H01!B38),"|",COLUMN(I_06H01!B38),",0",",0")</f>
        <v>671298,38|2,0,0</v>
      </c>
      <c r="C38" t="str">
        <f>CONCATENATE(671375,",",ROW(I_06H01!C38),"|",COLUMN(I_06H01!C38),",0",",0")</f>
        <v>671375,38|3,0,0</v>
      </c>
      <c r="D38" t="str">
        <f>CONCATENATE(671066,",",ROW(I_06H01!D38),"|",COLUMN(I_06H01!D38),",0",",0")</f>
        <v>671066,38|4,0,0</v>
      </c>
      <c r="E38" t="str">
        <f>CONCATENATE(671047,",",ROW(I_06H01!E38),"|",COLUMN(I_06H01!E38),",0",",0")</f>
        <v>671047,38|5,0,0</v>
      </c>
    </row>
    <row r="39" spans="1:5" x14ac:dyDescent="0.25">
      <c r="A39" t="str">
        <f>CONCATENATE(671168,",",ROW(I_06H01!A39),"|",COLUMN(I_06H01!A39),",0",",0")</f>
        <v>671168,39|1,0,0</v>
      </c>
      <c r="B39" t="str">
        <f>CONCATENATE(671445,",",ROW(I_06H01!B39),"|",COLUMN(I_06H01!B39),",0",",0")</f>
        <v>671445,39|2,0,0</v>
      </c>
      <c r="C39" t="str">
        <f>CONCATENATE(671431,",",ROW(I_06H01!C39),"|",COLUMN(I_06H01!C39),",0",",0")</f>
        <v>671431,39|3,0,0</v>
      </c>
      <c r="D39" t="str">
        <f>CONCATENATE(671501,",",ROW(I_06H01!D39),"|",COLUMN(I_06H01!D39),",0",",0")</f>
        <v>671501,39|4,0,0</v>
      </c>
      <c r="E39" t="str">
        <f>CONCATENATE(671094,",",ROW(I_06H01!E39),"|",COLUMN(I_06H01!E39),",0",",0")</f>
        <v>671094,39|5,0,0</v>
      </c>
    </row>
    <row r="40" spans="1:5" x14ac:dyDescent="0.25">
      <c r="A40" t="str">
        <f>CONCATENATE(671169,",",ROW(I_06H01!A40),"|",COLUMN(I_06H01!A40),",0",",0")</f>
        <v>671169,40|1,0,0</v>
      </c>
      <c r="B40" t="str">
        <f>CONCATENATE(671446,",",ROW(I_06H01!B40),"|",COLUMN(I_06H01!B40),",0",",0")</f>
        <v>671446,40|2,0,0</v>
      </c>
      <c r="C40" t="str">
        <f>CONCATENATE(671432,",",ROW(I_06H01!C40),"|",COLUMN(I_06H01!C40),",0",",0")</f>
        <v>671432,40|3,0,0</v>
      </c>
      <c r="D40" t="str">
        <f>CONCATENATE(671344,",",ROW(I_06H01!D40),"|",COLUMN(I_06H01!D40),",0",",0")</f>
        <v>671344,40|4,0,0</v>
      </c>
      <c r="E40" t="str">
        <f>CONCATENATE(671095,",",ROW(I_06H01!E40),"|",COLUMN(I_06H01!E40),",0",",0")</f>
        <v>671095,40|5,0,0</v>
      </c>
    </row>
    <row r="41" spans="1:5" x14ac:dyDescent="0.25">
      <c r="A41" t="str">
        <f>CONCATENATE(671170,",",ROW(I_06H01!A41),"|",COLUMN(I_06H01!A41),",0",",0")</f>
        <v>671170,41|1,0,0</v>
      </c>
      <c r="B41" t="str">
        <f>CONCATENATE(671128,",",ROW(I_06H01!B41),"|",COLUMN(I_06H01!B41),",0",",0")</f>
        <v>671128,41|2,0,0</v>
      </c>
      <c r="C41" t="str">
        <f>CONCATENATE(671433,",",ROW(I_06H01!C41),"|",COLUMN(I_06H01!C41),",0",",0")</f>
        <v>671433,41|3,0,0</v>
      </c>
      <c r="D41" t="str">
        <f>CONCATENATE(671345,",",ROW(I_06H01!D41),"|",COLUMN(I_06H01!D41),",0",",0")</f>
        <v>671345,41|4,0,0</v>
      </c>
      <c r="E41" t="str">
        <f>CONCATENATE(671096,",",ROW(I_06H01!E41),"|",COLUMN(I_06H01!E41),",0",",0")</f>
        <v>671096,41|5,0,0</v>
      </c>
    </row>
    <row r="42" spans="1:5" x14ac:dyDescent="0.25">
      <c r="A42" t="str">
        <f>CONCATENATE(671171,",",ROW(I_06H01!A42),"|",COLUMN(I_06H01!A42),",0",",0")</f>
        <v>671171,42|1,0,0</v>
      </c>
      <c r="B42" t="str">
        <f>CONCATENATE(671299,",",ROW(I_06H01!B42),"|",COLUMN(I_06H01!B42),",0",",0")</f>
        <v>671299,42|2,0,0</v>
      </c>
      <c r="C42" t="str">
        <f>CONCATENATE(671376,",",ROW(I_06H01!C42),"|",COLUMN(I_06H01!C42),",0",",0")</f>
        <v>671376,42|3,0,0</v>
      </c>
      <c r="D42" t="str">
        <f>CONCATENATE(671067,",",ROW(I_06H01!D42),"|",COLUMN(I_06H01!D42),",0",",0")</f>
        <v>671067,42|4,0,0</v>
      </c>
      <c r="E42" t="str">
        <f>CONCATENATE(671048,",",ROW(I_06H01!E42),"|",COLUMN(I_06H01!E42),",0",",0")</f>
        <v>671048,42|5,0,0</v>
      </c>
    </row>
    <row r="43" spans="1:5" x14ac:dyDescent="0.25">
      <c r="A43" t="str">
        <f>CONCATENATE(671304,",",ROW(I_06H01!A43),"|",COLUMN(I_06H01!A43),",0",",0")</f>
        <v>671304,43|1,0,0</v>
      </c>
      <c r="B43" t="str">
        <f>CONCATENATE(671222,",",ROW(I_06H01!B43),"|",COLUMN(I_06H01!B43),",0",",0")</f>
        <v>671222,43|2,0,0</v>
      </c>
      <c r="C43" t="str">
        <f>CONCATENATE(671081,",",ROW(I_06H01!C43),"|",COLUMN(I_06H01!C43),",0",",0")</f>
        <v>671081,43|3,0,0</v>
      </c>
      <c r="D43" t="str">
        <f>CONCATENATE(671479,",",ROW(I_06H01!D43),"|",COLUMN(I_06H01!D43),",0",",0")</f>
        <v>671479,43|4,0,0</v>
      </c>
      <c r="E43" t="str">
        <f>CONCATENATE(671137,",",ROW(I_06H01!E43),"|",COLUMN(I_06H01!E43),",0",",0")</f>
        <v>671137,43|5,0,0</v>
      </c>
    </row>
    <row r="44" spans="1:5" x14ac:dyDescent="0.25">
      <c r="A44" t="str">
        <f>CONCATENATE(671305,",",ROW(I_06H01!A44),"|",COLUMN(I_06H01!A44),",0",",0")</f>
        <v>671305,44|1,0,0</v>
      </c>
      <c r="B44" t="str">
        <f>CONCATENATE(671129,",",ROW(I_06H01!B44),"|",COLUMN(I_06H01!B44),",0",",0")</f>
        <v>671129,44|2,0,0</v>
      </c>
      <c r="C44" t="str">
        <f>CONCATENATE(671434,",",ROW(I_06H01!C44),"|",COLUMN(I_06H01!C44),",0",",0")</f>
        <v>671434,44|3,0,0</v>
      </c>
      <c r="D44" t="str">
        <f>CONCATENATE(671346,",",ROW(I_06H01!D44),"|",COLUMN(I_06H01!D44),",0",",0")</f>
        <v>671346,44|4,0,0</v>
      </c>
      <c r="E44" t="str">
        <f>CONCATENATE(671097,",",ROW(I_06H01!E44),"|",COLUMN(I_06H01!E44),",0",",0")</f>
        <v>671097,44|5,0,0</v>
      </c>
    </row>
    <row r="45" spans="1:5" x14ac:dyDescent="0.25">
      <c r="A45" t="str">
        <f>CONCATENATE(671306,",",ROW(I_06H01!A45),"|",COLUMN(I_06H01!A45),",0",",0")</f>
        <v>671306,45|1,0,0</v>
      </c>
      <c r="B45" t="str">
        <f>CONCATENATE(671144,",",ROW(I_06H01!B45),"|",COLUMN(I_06H01!B45),",0",",0")</f>
        <v>671144,45|2,0,0</v>
      </c>
      <c r="C45" t="str">
        <f>CONCATENATE(671408,",",ROW(I_06H01!C45),"|",COLUMN(I_06H01!C45),",0",",0")</f>
        <v>671408,45|3,0,0</v>
      </c>
      <c r="D45" t="str">
        <f>CONCATENATE(671347,",",ROW(I_06H01!D45),"|",COLUMN(I_06H01!D45),",0",",0")</f>
        <v>671347,45|4,0,0</v>
      </c>
      <c r="E45" t="str">
        <f>CONCATENATE(671098,",",ROW(I_06H01!E45),"|",COLUMN(I_06H01!E45),",0",",0")</f>
        <v>671098,45|5,0,0</v>
      </c>
    </row>
    <row r="46" spans="1:5" x14ac:dyDescent="0.25">
      <c r="A46" t="str">
        <f>CONCATENATE(671307,",",ROW(I_06H01!A46),"|",COLUMN(I_06H01!A46),",0",",0")</f>
        <v>671307,46|1,0,0</v>
      </c>
      <c r="B46" t="str">
        <f>CONCATENATE(671145,",",ROW(I_06H01!B46),"|",COLUMN(I_06H01!B46),",0",",0")</f>
        <v>671145,46|2,0,0</v>
      </c>
      <c r="C46" t="str">
        <f>CONCATENATE(671410,",",ROW(I_06H01!C46),"|",COLUMN(I_06H01!C46),",0",",0")</f>
        <v>671410,46|3,0,0</v>
      </c>
      <c r="D46" t="str">
        <f>CONCATENATE(671348,",",ROW(I_06H01!D46),"|",COLUMN(I_06H01!D46),",0",",0")</f>
        <v>671348,46|4,0,0</v>
      </c>
      <c r="E46" t="str">
        <f>CONCATENATE(671099,",",ROW(I_06H01!E46),"|",COLUMN(I_06H01!E46),",0",",0")</f>
        <v>671099,46|5,0,0</v>
      </c>
    </row>
    <row r="47" spans="1:5" x14ac:dyDescent="0.25">
      <c r="A47" t="str">
        <f>CONCATENATE(671308,",",ROW(I_06H01!A47),"|",COLUMN(I_06H01!A47),",0",",0")</f>
        <v>671308,47|1,0,0</v>
      </c>
      <c r="B47" t="str">
        <f>CONCATENATE(671133,",",ROW(I_06H01!B47),"|",COLUMN(I_06H01!B47),",0",",0")</f>
        <v>671133,47|2,0,0</v>
      </c>
      <c r="C47" t="str">
        <f>CONCATENATE(671390,",",ROW(I_06H01!C47),"|",COLUMN(I_06H01!C47),",0",",0")</f>
        <v>671390,47|3,0,0</v>
      </c>
      <c r="D47" t="str">
        <f>CONCATENATE(671392,",",ROW(I_06H01!D47),"|",COLUMN(I_06H01!D47),",0",",0")</f>
        <v>671392,47|4,0,0</v>
      </c>
      <c r="E47" t="str">
        <f>CONCATENATE(671049,",",ROW(I_06H01!E47),"|",COLUMN(I_06H01!E47),",0",",0")</f>
        <v>671049,47|5,0,0</v>
      </c>
    </row>
    <row r="48" spans="1:5" x14ac:dyDescent="0.25">
      <c r="A48" t="str">
        <f>CONCATENATE(671309,",",ROW(I_06H01!A48),"|",COLUMN(I_06H01!A48),",0",",0")</f>
        <v>671309,48|1,0,0</v>
      </c>
      <c r="B48" t="str">
        <f>CONCATENATE(671146,",",ROW(I_06H01!B48),"|",COLUMN(I_06H01!B48),",0",",0")</f>
        <v>671146,48|2,0,0</v>
      </c>
      <c r="C48" t="str">
        <f>CONCATENATE(671411,",",ROW(I_06H01!C48),"|",COLUMN(I_06H01!C48),",0",",0")</f>
        <v>671411,48|3,0,0</v>
      </c>
      <c r="D48" t="str">
        <f>CONCATENATE(671377,",",ROW(I_06H01!D48),"|",COLUMN(I_06H01!D48),",0",",0")</f>
        <v>671377,48|4,0,0</v>
      </c>
      <c r="E48" t="str">
        <f>CONCATENATE(671210,",",ROW(I_06H01!E48),"|",COLUMN(I_06H01!E48),",0",",0")</f>
        <v>671210,48|5,0,0</v>
      </c>
    </row>
    <row r="49" spans="1:5" x14ac:dyDescent="0.25">
      <c r="A49" t="str">
        <f>CONCATENATE(671310,",",ROW(I_06H01!A49),"|",COLUMN(I_06H01!A49),",0",",0")</f>
        <v>671310,49|1,0,0</v>
      </c>
      <c r="B49" t="str">
        <f>CONCATENATE(671147,",",ROW(I_06H01!B49),"|",COLUMN(I_06H01!B49),",0",",0")</f>
        <v>671147,49|2,0,0</v>
      </c>
      <c r="C49" t="str">
        <f>CONCATENATE(671428,",",ROW(I_06H01!C49),"|",COLUMN(I_06H01!C49),",0",",0")</f>
        <v>671428,49|3,0,0</v>
      </c>
      <c r="D49" t="str">
        <f>CONCATENATE(671378,",",ROW(I_06H01!D49),"|",COLUMN(I_06H01!D49),",0",",0")</f>
        <v>671378,49|4,0,0</v>
      </c>
      <c r="E49" t="str">
        <f>CONCATENATE(671100,",",ROW(I_06H01!E49),"|",COLUMN(I_06H01!E49),",0",",0")</f>
        <v>671100,49|5,0,0</v>
      </c>
    </row>
    <row r="50" spans="1:5" x14ac:dyDescent="0.25">
      <c r="A50" t="str">
        <f>CONCATENATE(671311,",",ROW(I_06H01!A50),"|",COLUMN(I_06H01!A50),",0",",0")</f>
        <v>671311,50|1,0,0</v>
      </c>
      <c r="B50" t="str">
        <f>CONCATENATE(671148,",",ROW(I_06H01!B50),"|",COLUMN(I_06H01!B50),",0",",0")</f>
        <v>671148,50|2,0,0</v>
      </c>
      <c r="C50" t="str">
        <f>CONCATENATE(671365,",",ROW(I_06H01!C50),"|",COLUMN(I_06H01!C50),",0",",0")</f>
        <v>671365,50|3,0,0</v>
      </c>
      <c r="D50" t="str">
        <f>CONCATENATE(671379,",",ROW(I_06H01!D50),"|",COLUMN(I_06H01!D50),",0",",0")</f>
        <v>671379,50|4,0,0</v>
      </c>
      <c r="E50" t="str">
        <f>CONCATENATE(671101,",",ROW(I_06H01!E50),"|",COLUMN(I_06H01!E50),",0",",0")</f>
        <v>671101,50|5,0,0</v>
      </c>
    </row>
    <row r="51" spans="1:5" x14ac:dyDescent="0.25">
      <c r="A51" t="str">
        <f>CONCATENATE(671312,",",ROW(I_06H01!A51),"|",COLUMN(I_06H01!A51),",0",",0")</f>
        <v>671312,51|1,0,0</v>
      </c>
      <c r="B51" t="str">
        <f>CONCATENATE(671149,",",ROW(I_06H01!B51),"|",COLUMN(I_06H01!B51),",0",",0")</f>
        <v>671149,51|2,0,0</v>
      </c>
      <c r="C51" t="str">
        <f>CONCATENATE(671366,",",ROW(I_06H01!C51),"|",COLUMN(I_06H01!C51),",0",",0")</f>
        <v>671366,51|3,0,0</v>
      </c>
      <c r="D51" t="str">
        <f>CONCATENATE(671380,",",ROW(I_06H01!D51),"|",COLUMN(I_06H01!D51),",0",",0")</f>
        <v>671380,51|4,0,0</v>
      </c>
      <c r="E51" t="str">
        <f>CONCATENATE(671102,",",ROW(I_06H01!E51),"|",COLUMN(I_06H01!E51),",0",",0")</f>
        <v>671102,51|5,0,0</v>
      </c>
    </row>
    <row r="52" spans="1:5" x14ac:dyDescent="0.25">
      <c r="A52" t="str">
        <f>CONCATENATE(671313,",",ROW(I_06H01!A52),"|",COLUMN(I_06H01!A52),",0",",0")</f>
        <v>671313,52|1,0,0</v>
      </c>
      <c r="B52" t="str">
        <f>CONCATENATE(671198,",",ROW(I_06H01!B52),"|",COLUMN(I_06H01!B52),",0",",0")</f>
        <v>671198,52|2,0,0</v>
      </c>
      <c r="C52" t="str">
        <f>CONCATENATE(671367,",",ROW(I_06H01!C52),"|",COLUMN(I_06H01!C52),",0",",0")</f>
        <v>671367,52|3,0,0</v>
      </c>
      <c r="D52" t="str">
        <f>CONCATENATE(671381,",",ROW(I_06H01!D52),"|",COLUMN(I_06H01!D52),",0",",0")</f>
        <v>671381,52|4,0,0</v>
      </c>
      <c r="E52" t="str">
        <f>CONCATENATE(671103,",",ROW(I_06H01!E52),"|",COLUMN(I_06H01!E52),",0",",0")</f>
        <v>671103,52|5,0,0</v>
      </c>
    </row>
    <row r="53" spans="1:5" x14ac:dyDescent="0.25">
      <c r="A53" t="str">
        <f>CONCATENATE(671314,",",ROW(I_06H01!A53),"|",COLUMN(I_06H01!A53),",0",",0")</f>
        <v>671314,53|1,0,0</v>
      </c>
      <c r="B53" t="str">
        <f>CONCATENATE(671024,",",ROW(I_06H01!B53),"|",COLUMN(I_06H01!B53),",0",",0")</f>
        <v>671024,53|2,0,0</v>
      </c>
      <c r="C53" t="str">
        <f>CONCATENATE(671368,",",ROW(I_06H01!C53),"|",COLUMN(I_06H01!C53),",0",",0")</f>
        <v>671368,53|3,0,0</v>
      </c>
      <c r="D53" t="str">
        <f>CONCATENATE(671382,",",ROW(I_06H01!D53),"|",COLUMN(I_06H01!D53),",0",",0")</f>
        <v>671382,53|4,0,0</v>
      </c>
      <c r="E53" t="str">
        <f>CONCATENATE(671437,",",ROW(I_06H01!E53),"|",COLUMN(I_06H01!E53),",0",",0")</f>
        <v>671437,53|5,0,0</v>
      </c>
    </row>
    <row r="54" spans="1:5" x14ac:dyDescent="0.25">
      <c r="A54" t="str">
        <f>CONCATENATE(671315,",",ROW(I_06H01!A54),"|",COLUMN(I_06H01!A54),",0",",0")</f>
        <v>671315,54|1,0,0</v>
      </c>
      <c r="B54" t="str">
        <f>CONCATENATE(671025,",",ROW(I_06H01!B54),"|",COLUMN(I_06H01!B54),",0",",0")</f>
        <v>671025,54|2,0,0</v>
      </c>
      <c r="C54" t="str">
        <f>CONCATENATE(671369,",",ROW(I_06H01!C54),"|",COLUMN(I_06H01!C54),",0",",0")</f>
        <v>671369,54|3,0,0</v>
      </c>
      <c r="D54" t="str">
        <f>CONCATENATE(671383,",",ROW(I_06H01!D54),"|",COLUMN(I_06H01!D54),",0",",0")</f>
        <v>671383,54|4,0,0</v>
      </c>
      <c r="E54" t="str">
        <f>CONCATENATE(671438,",",ROW(I_06H01!E54),"|",COLUMN(I_06H01!E54),",0",",0")</f>
        <v>671438,54|5,0,0</v>
      </c>
    </row>
    <row r="55" spans="1:5" x14ac:dyDescent="0.25">
      <c r="A55" t="str">
        <f>CONCATENATE(671316,",",ROW(I_06H01!A55),"|",COLUMN(I_06H01!A55),",0",",0")</f>
        <v>671316,55|1,0,0</v>
      </c>
      <c r="B55" t="str">
        <f>CONCATENATE(671026,",",ROW(I_06H01!B55),"|",COLUMN(I_06H01!B55),",0",",0")</f>
        <v>671026,55|2,0,0</v>
      </c>
      <c r="C55" t="str">
        <f>CONCATENATE(671068,",",ROW(I_06H01!C55),"|",COLUMN(I_06H01!C55),",0",",0")</f>
        <v>671068,55|3,0,0</v>
      </c>
      <c r="D55" t="str">
        <f>CONCATENATE(671384,",",ROW(I_06H01!D55),"|",COLUMN(I_06H01!D55),",0",",0")</f>
        <v>671384,55|4,0,0</v>
      </c>
      <c r="E55" t="str">
        <f>CONCATENATE(671123,",",ROW(I_06H01!E55),"|",COLUMN(I_06H01!E55),",0",",0")</f>
        <v>671123,55|5,0,0</v>
      </c>
    </row>
    <row r="56" spans="1:5" x14ac:dyDescent="0.25">
      <c r="A56" t="str">
        <f>CONCATENATE(671317,",",ROW(I_06H01!A56),"|",COLUMN(I_06H01!A56),",0",",0")</f>
        <v>671317,56|1,0,0</v>
      </c>
      <c r="B56" t="str">
        <f>CONCATENATE(671207,",",ROW(I_06H01!B56),"|",COLUMN(I_06H01!B56),",0",",0")</f>
        <v>671207,56|2,0,0</v>
      </c>
      <c r="C56" t="str">
        <f>CONCATENATE(671069,",",ROW(I_06H01!C56),"|",COLUMN(I_06H01!C56),",0",",0")</f>
        <v>671069,56|3,0,0</v>
      </c>
      <c r="D56" t="str">
        <f>CONCATENATE(671385,",",ROW(I_06H01!D56),"|",COLUMN(I_06H01!D56),",0",",0")</f>
        <v>671385,56|4,0,0</v>
      </c>
      <c r="E56" t="str">
        <f>CONCATENATE(671124,",",ROW(I_06H01!E56),"|",COLUMN(I_06H01!E56),",0",",0")</f>
        <v>671124,56|5,0,0</v>
      </c>
    </row>
    <row r="57" spans="1:5" x14ac:dyDescent="0.25">
      <c r="A57" t="str">
        <f>CONCATENATE(671318,",",ROW(I_06H01!A57),"|",COLUMN(I_06H01!A57),",0",",0")</f>
        <v>671318,57|1,0,0</v>
      </c>
      <c r="B57" t="str">
        <f>CONCATENATE(671247,",",ROW(I_06H01!B57),"|",COLUMN(I_06H01!B57),",0",",0")</f>
        <v>671247,57|2,0,0</v>
      </c>
      <c r="C57" t="str">
        <f>CONCATENATE(671391,",",ROW(I_06H01!C57),"|",COLUMN(I_06H01!C57),",0",",0")</f>
        <v>671391,57|3,0,0</v>
      </c>
      <c r="D57" t="str">
        <f>CONCATENATE(671393,",",ROW(I_06H01!D57),"|",COLUMN(I_06H01!D57),",0",",0")</f>
        <v>671393,57|4,0,0</v>
      </c>
      <c r="E57" t="str">
        <f>CONCATENATE(671050,",",ROW(I_06H01!E57),"|",COLUMN(I_06H01!E57),",0",",0")</f>
        <v>671050,57|5,0,0</v>
      </c>
    </row>
    <row r="58" spans="1:5" x14ac:dyDescent="0.25">
      <c r="A58" t="str">
        <f>CONCATENATE(671319,",",ROW(I_06H01!A58),"|",COLUMN(I_06H01!A58),",0",",0")</f>
        <v>671319,58|1,0,0</v>
      </c>
      <c r="B58" t="str">
        <f>CONCATENATE(671208,",",ROW(I_06H01!B58),"|",COLUMN(I_06H01!B58),",0",",0")</f>
        <v>671208,58|2,0,0</v>
      </c>
      <c r="C58" t="str">
        <f>CONCATENATE(671070,",",ROW(I_06H01!C58),"|",COLUMN(I_06H01!C58),",0",",0")</f>
        <v>671070,58|3,0,0</v>
      </c>
      <c r="D58" t="str">
        <f>CONCATENATE(671386,",",ROW(I_06H01!D58),"|",COLUMN(I_06H01!D58),",0",",0")</f>
        <v>671386,58|4,0,0</v>
      </c>
      <c r="E58" t="str">
        <f>CONCATENATE(671125,",",ROW(I_06H01!E58),"|",COLUMN(I_06H01!E58),",0",",0")</f>
        <v>671125,58|5,0,0</v>
      </c>
    </row>
    <row r="59" spans="1:5" x14ac:dyDescent="0.25">
      <c r="A59" t="str">
        <f>CONCATENATE(671320,",",ROW(I_06H01!A59),"|",COLUMN(I_06H01!A59),",0",",0")</f>
        <v>671320,59|1,0,0</v>
      </c>
      <c r="B59" t="str">
        <f>CONCATENATE(671209,",",ROW(I_06H01!B59),"|",COLUMN(I_06H01!B59),",0",",0")</f>
        <v>671209,59|2,0,0</v>
      </c>
      <c r="C59" t="str">
        <f>CONCATENATE(671071,",",ROW(I_06H01!C59),"|",COLUMN(I_06H01!C59),",0",",0")</f>
        <v>671071,59|3,0,0</v>
      </c>
      <c r="D59" t="str">
        <f>CONCATENATE(671387,",",ROW(I_06H01!D59),"|",COLUMN(I_06H01!D59),",0",",0")</f>
        <v>671387,59|4,0,0</v>
      </c>
      <c r="E59" t="str">
        <f>CONCATENATE(671126,",",ROW(I_06H01!E59),"|",COLUMN(I_06H01!E59),",0",",0")</f>
        <v>671126,59|5,0,0</v>
      </c>
    </row>
    <row r="60" spans="1:5" x14ac:dyDescent="0.25">
      <c r="A60" t="str">
        <f>CONCATENATE(671321,",",ROW(I_06H01!A60),"|",COLUMN(I_06H01!A60),",0",",0")</f>
        <v>671321,60|1,0,0</v>
      </c>
      <c r="B60" t="str">
        <f>CONCATENATE(671211,",",ROW(I_06H01!B60),"|",COLUMN(I_06H01!B60),",0",",0")</f>
        <v>671211,60|2,0,0</v>
      </c>
      <c r="C60" t="str">
        <f>CONCATENATE(671150,",",ROW(I_06H01!C60),"|",COLUMN(I_06H01!C60),",0",",0")</f>
        <v>671150,60|3,0,0</v>
      </c>
      <c r="D60" t="str">
        <f>CONCATENATE(671388,",",ROW(I_06H01!D60),"|",COLUMN(I_06H01!D60),",0",",0")</f>
        <v>671388,60|4,0,0</v>
      </c>
      <c r="E60" t="str">
        <f>CONCATENATE(671127,",",ROW(I_06H01!E60),"|",COLUMN(I_06H01!E60),",0",",0")</f>
        <v>671127,60|5,0,0</v>
      </c>
    </row>
    <row r="61" spans="1:5" x14ac:dyDescent="0.25">
      <c r="A61" t="str">
        <f>CONCATENATE(671322,",",ROW(I_06H01!A61),"|",COLUMN(I_06H01!A61),",0",",0")</f>
        <v>671322,61|1,0,0</v>
      </c>
      <c r="B61" t="str">
        <f>CONCATENATE(671212,",",ROW(I_06H01!B61),"|",COLUMN(I_06H01!B61),",0",",0")</f>
        <v>671212,61|2,0,0</v>
      </c>
      <c r="C61" t="str">
        <f>CONCATENATE(671072,",",ROW(I_06H01!C61),"|",COLUMN(I_06H01!C61),",0",",0")</f>
        <v>671072,61|3,0,0</v>
      </c>
      <c r="D61" t="str">
        <f>CONCATENATE(671389,",",ROW(I_06H01!D61),"|",COLUMN(I_06H01!D61),",0",",0")</f>
        <v>671389,61|4,0,0</v>
      </c>
      <c r="E61" t="str">
        <f>CONCATENATE(671156,",",ROW(I_06H01!E61),"|",COLUMN(I_06H01!E61),",0",",0")</f>
        <v>671156,61|5,0,0</v>
      </c>
    </row>
    <row r="62" spans="1:5" x14ac:dyDescent="0.25">
      <c r="A62" t="str">
        <f>CONCATENATE(671323,",",ROW(I_06H01!A62),"|",COLUMN(I_06H01!A62),",0",",0")</f>
        <v>671323,62|1,0,0</v>
      </c>
      <c r="B62" t="str">
        <f>CONCATENATE(671213,",",ROW(I_06H01!B62),"|",COLUMN(I_06H01!B62),",0",",0")</f>
        <v>671213,62|2,0,0</v>
      </c>
      <c r="C62" t="str">
        <f>CONCATENATE(671073,",",ROW(I_06H01!C62),"|",COLUMN(I_06H01!C62),",0",",0")</f>
        <v>671073,62|3,0,0</v>
      </c>
      <c r="D62" t="str">
        <f>CONCATENATE(671405,",",ROW(I_06H01!D62),"|",COLUMN(I_06H01!D62),",0",",0")</f>
        <v>671405,62|4,0,0</v>
      </c>
      <c r="E62" t="str">
        <f>CONCATENATE(671157,",",ROW(I_06H01!E62),"|",COLUMN(I_06H01!E62),",0",",0")</f>
        <v>671157,62|5,0,0</v>
      </c>
    </row>
    <row r="63" spans="1:5" x14ac:dyDescent="0.25">
      <c r="A63" t="str">
        <f>CONCATENATE(671435,",",ROW(I_06H01!A63),"|",COLUMN(I_06H01!A63),",0",",0")</f>
        <v>671435,63|1,0,0</v>
      </c>
      <c r="B63" t="str">
        <f>CONCATENATE(671214,",",ROW(I_06H01!B63),"|",COLUMN(I_06H01!B63),",0",",0")</f>
        <v>671214,63|2,0,0</v>
      </c>
      <c r="C63" t="str">
        <f>CONCATENATE(671074,",",ROW(I_06H01!C63),"|",COLUMN(I_06H01!C63),",0",",0")</f>
        <v>671074,63|3,0,0</v>
      </c>
      <c r="D63" t="str">
        <f>CONCATENATE(671406,",",ROW(I_06H01!D63),"|",COLUMN(I_06H01!D63),",0",",0")</f>
        <v>671406,63|4,0,0</v>
      </c>
      <c r="E63" t="str">
        <f>CONCATENATE(671158,",",ROW(I_06H01!E63),"|",COLUMN(I_06H01!E63),",0",",0")</f>
        <v>671158,63|5,0,0</v>
      </c>
    </row>
    <row r="64" spans="1:5" x14ac:dyDescent="0.25">
      <c r="A64" t="str">
        <f>CONCATENATE(671436,",",ROW(I_06H01!A64),"|",COLUMN(I_06H01!A64),",0",",0")</f>
        <v>671436,64|1,0,0</v>
      </c>
      <c r="B64" t="str">
        <f>CONCATENATE(671455,",",ROW(I_06H01!B64),"|",COLUMN(I_06H01!B64),",0",",0")</f>
        <v>671455,64|2,0,0</v>
      </c>
      <c r="C64" t="str">
        <f>CONCATENATE(671249,",",ROW(I_06H01!C64),"|",COLUMN(I_06H01!C64),",0",",0")</f>
        <v>671249,64|3,0,0</v>
      </c>
      <c r="D64" t="str">
        <f>CONCATENATE(671394,",",ROW(I_06H01!D64),"|",COLUMN(I_06H01!D64),",0",",0")</f>
        <v>671394,64|4,0,0</v>
      </c>
      <c r="E64" t="str">
        <f>CONCATENATE(671051,",",ROW(I_06H01!E64),"|",COLUMN(I_06H01!E64),",0",",0")</f>
        <v>671051,64|5,0,0</v>
      </c>
    </row>
    <row r="65" spans="1:5" x14ac:dyDescent="0.25">
      <c r="A65" t="str">
        <f>CONCATENATE(671227,",",ROW(I_06H01!A65),"|",COLUMN(I_06H01!A65),",0",",0")</f>
        <v>671227,65|1,0,0</v>
      </c>
      <c r="B65" t="str">
        <f>CONCATENATE(671353,",",ROW(I_06H01!B65),"|",COLUMN(I_06H01!B65),",0",",0")</f>
        <v>671353,65|2,0,0</v>
      </c>
      <c r="C65" t="str">
        <f>CONCATENATE(671034,",",ROW(I_06H01!C65),"|",COLUMN(I_06H01!C65),",0",",0")</f>
        <v>671034,65|3,0,0</v>
      </c>
      <c r="D65" t="str">
        <f>CONCATENATE(671199,",",ROW(I_06H01!D65),"|",COLUMN(I_06H01!D65),",0",",0")</f>
        <v>671199,65|4,0,0</v>
      </c>
      <c r="E65" t="str">
        <f>CONCATENATE(671361,",",ROW(I_06H01!E65),"|",COLUMN(I_06H01!E65),",0",",0")</f>
        <v>671361,65|5,0,0</v>
      </c>
    </row>
    <row r="66" spans="1:5" x14ac:dyDescent="0.25">
      <c r="A66" t="str">
        <f>CONCATENATE(671443,",",ROW(I_06H01!A66),"|",COLUMN(I_06H01!A66),",0",",0")</f>
        <v>671443,66|1,0,0</v>
      </c>
      <c r="B66" t="str">
        <f>CONCATENATE(671033,",",ROW(I_06H01!B66),"|",COLUMN(I_06H01!B66),",0",",0")</f>
        <v>671033,66|2,0,0</v>
      </c>
      <c r="C66" t="str">
        <f>CONCATENATE(671230,",",ROW(I_06H01!C66),"|",COLUMN(I_06H01!C66),",0",",0")</f>
        <v>671230,66|3,0,0</v>
      </c>
      <c r="D66" t="str">
        <f>CONCATENATE(671200,",",ROW(I_06H01!D66),"|",COLUMN(I_06H01!D66),",0",",0")</f>
        <v>671200,66|4,0,0</v>
      </c>
      <c r="E66" t="str">
        <f>CONCATENATE(671362,",",ROW(I_06H01!E66),"|",COLUMN(I_06H01!E66),",0",",0")</f>
        <v>671362,66|5,0,0</v>
      </c>
    </row>
    <row r="67" spans="1:5" x14ac:dyDescent="0.25">
      <c r="A67" t="str">
        <f>CONCATENATE(671351,",",ROW(I_06H01!A67),"|",COLUMN(I_06H01!A67),",0",",0")</f>
        <v>671351,67|1,0,0</v>
      </c>
      <c r="B67" t="str">
        <f>CONCATENATE(671363,",",ROW(I_06H01!B67),"|",COLUMN(I_06H01!B67),",0",",0")</f>
        <v>671363,67|2,0,0</v>
      </c>
      <c r="C67" t="str">
        <f>CONCATENATE(671358,",",ROW(I_06H01!C67),"|",COLUMN(I_06H01!C67),",0",",0")</f>
        <v>671358,67|3,0,0</v>
      </c>
      <c r="D67" t="str">
        <f>CONCATENATE(671225,",",ROW(I_06H01!D67),"|",COLUMN(I_06H01!D67),",0",",0")</f>
        <v>671225,67|4,0,0</v>
      </c>
      <c r="E67" t="str">
        <f>CONCATENATE(671354,",",ROW(I_06H01!E67),"|",COLUMN(I_06H01!E67),",0",",0")</f>
        <v>671354,67|5,0,0</v>
      </c>
    </row>
    <row r="68" spans="1:5" x14ac:dyDescent="0.25">
      <c r="A68" t="str">
        <f>CONCATENATE(671364,",",ROW(I_06H01!A68),"|",COLUMN(I_06H01!A68),",0",",0")</f>
        <v>671364,68|1,0,0</v>
      </c>
      <c r="B68" t="str">
        <f>CONCATENATE(671228,",",ROW(I_06H01!B68),"|",COLUMN(I_06H01!B68),",0",",0")</f>
        <v>671228,68|2,0,0</v>
      </c>
      <c r="C68" t="str">
        <f>CONCATENATE(671231,",",ROW(I_06H01!C68),"|",COLUMN(I_06H01!C68),",0",",0")</f>
        <v>671231,68|3,0,0</v>
      </c>
      <c r="D68" t="str">
        <f>CONCATENATE(671226,",",ROW(I_06H01!D68),"|",COLUMN(I_06H01!D68),",0",",0")</f>
        <v>671226,68|4,0,0</v>
      </c>
      <c r="E68" t="str">
        <f>CONCATENATE(671356,",",ROW(I_06H01!E68),"|",COLUMN(I_06H01!E68),",0",",0")</f>
        <v>671356,68|5,0,0</v>
      </c>
    </row>
    <row r="69" spans="1:5" x14ac:dyDescent="0.25">
      <c r="A69" t="str">
        <f>CONCATENATE(671352,",",ROW(I_06H01!A69),"|",COLUMN(I_06H01!A69),",0",",0")</f>
        <v>671352,69|1,0,0</v>
      </c>
      <c r="B69" t="str">
        <f>CONCATENATE(671229,",",ROW(I_06H01!B69),"|",COLUMN(I_06H01!B69),",0",",0")</f>
        <v>671229,69|2,0,0</v>
      </c>
      <c r="C69" t="str">
        <f>CONCATENATE(671232,",",ROW(I_06H01!C69),"|",COLUMN(I_06H01!C69),",0",",0")</f>
        <v>671232,69|3,0,0</v>
      </c>
      <c r="D69" t="str">
        <f>CONCATENATE(671359,",",ROW(I_06H01!D69),"|",COLUMN(I_06H01!D69),",0",",0")</f>
        <v>671359,69|4,0,0</v>
      </c>
      <c r="E69" t="str">
        <f>CONCATENATE(671350,",",ROW(I_06H01!E69),"|",COLUMN(I_06H01!E69),",0",",0")</f>
        <v>671350,69|5,0,0</v>
      </c>
    </row>
    <row r="70" spans="1:5" x14ac:dyDescent="0.25">
      <c r="A70" t="str">
        <f>CONCATENATE(671032,",",ROW(I_06H01!A70),"|",COLUMN(I_06H01!A70),",0",",0")</f>
        <v>671032,70|1,0,0</v>
      </c>
      <c r="B70" t="str">
        <f>CONCATENATE(671357,",",ROW(I_06H01!B70),"|",COLUMN(I_06H01!B70),",0",",0")</f>
        <v>671357,70|2,0,0</v>
      </c>
      <c r="C70" t="str">
        <f>CONCATENATE(671349,",",ROW(I_06H01!C70),"|",COLUMN(I_06H01!C70),",0",",0")</f>
        <v>671349,70|3,0,0</v>
      </c>
      <c r="D70" t="str">
        <f>CONCATENATE(671360,",",ROW(I_06H01!D70),"|",COLUMN(I_06H01!D70),",0",",0")</f>
        <v>671360,70|4,0,0</v>
      </c>
      <c r="E70" t="str">
        <f>CONCATENATE(671355,",",ROW(I_06H01!E70),"|",COLUMN(I_06H01!E70),",0",",0")</f>
        <v>671355,70|5,0,0</v>
      </c>
    </row>
    <row r="71" spans="1:5" x14ac:dyDescent="0.25">
      <c r="A71" t="str">
        <f>CONCATENATE(671190,",",ROW(I_06H01!A71),"|",COLUMN(I_06H01!A71),",0",",0")</f>
        <v>671190,71|1,0,0</v>
      </c>
      <c r="B71" t="str">
        <f>CONCATENATE(671215,",",ROW(I_06H01!B71),"|",COLUMN(I_06H01!B71),",0",",0")</f>
        <v>671215,71|2,0,0</v>
      </c>
      <c r="C71" t="str">
        <f>CONCATENATE(671075,",",ROW(I_06H01!C71),"|",COLUMN(I_06H01!C71),",0",",0")</f>
        <v>671075,71|3,0,0</v>
      </c>
      <c r="D71" t="str">
        <f>CONCATENATE(671407,",",ROW(I_06H01!D71),"|",COLUMN(I_06H01!D71),",0",",0")</f>
        <v>671407,71|4,0,0</v>
      </c>
      <c r="E71" t="str">
        <f>CONCATENATE(671439,",",ROW(I_06H01!E71),"|",COLUMN(I_06H01!E71),",0",",0")</f>
        <v>671439,71|5,0,0</v>
      </c>
    </row>
    <row r="72" spans="1:5" x14ac:dyDescent="0.25">
      <c r="A72" t="str">
        <f>CONCATENATE(671191,",",ROW(I_06H01!A72),"|",COLUMN(I_06H01!A72),",0",",0")</f>
        <v>671191,72|1,0,0</v>
      </c>
      <c r="B72" t="str">
        <f>CONCATENATE(671248,",",ROW(I_06H01!B72),"|",COLUMN(I_06H01!B72),",0",",0")</f>
        <v>671248,72|2,0,0</v>
      </c>
      <c r="C72" t="str">
        <f>CONCATENATE(671250,",",ROW(I_06H01!C72),"|",COLUMN(I_06H01!C72),",0",",0")</f>
        <v>671250,72|3,0,0</v>
      </c>
      <c r="D72" t="str">
        <f>CONCATENATE(671395,",",ROW(I_06H01!D72),"|",COLUMN(I_06H01!D72),",0",",0")</f>
        <v>671395,72|4,0,0</v>
      </c>
      <c r="E72" t="str">
        <f>CONCATENATE(671052,",",ROW(I_06H01!E72),"|",COLUMN(I_06H01!E72),",0",",0")</f>
        <v>671052,72|5,0,0</v>
      </c>
    </row>
    <row r="73" spans="1:5" x14ac:dyDescent="0.25">
      <c r="A73" t="str">
        <f>CONCATENATE(671192,",",ROW(I_06H01!A73),"|",COLUMN(I_06H01!A73),",0",",0")</f>
        <v>671192,73|1,0,0</v>
      </c>
      <c r="B73" t="str">
        <f>CONCATENATE(671216,",",ROW(I_06H01!B73),"|",COLUMN(I_06H01!B73),",0",",0")</f>
        <v>671216,73|2,0,0</v>
      </c>
      <c r="C73" t="str">
        <f>CONCATENATE(671076,",",ROW(I_06H01!C73),"|",COLUMN(I_06H01!C73),",0",",0")</f>
        <v>671076,73|3,0,0</v>
      </c>
      <c r="D73" t="str">
        <f>CONCATENATE(671474,",",ROW(I_06H01!D73),"|",COLUMN(I_06H01!D73),",0",",0")</f>
        <v>671474,73|4,0,0</v>
      </c>
      <c r="E73" t="str">
        <f>CONCATENATE(671440,",",ROW(I_06H01!E73),"|",COLUMN(I_06H01!E73),",0",",0")</f>
        <v>671440,73|5,0,0</v>
      </c>
    </row>
    <row r="74" spans="1:5" x14ac:dyDescent="0.25">
      <c r="A74" t="str">
        <f>CONCATENATE(671193,",",ROW(I_06H01!A74),"|",COLUMN(I_06H01!A74),",0",",0")</f>
        <v>671193,74|1,0,0</v>
      </c>
      <c r="B74" t="str">
        <f>CONCATENATE(671217,",",ROW(I_06H01!B74),"|",COLUMN(I_06H01!B74),",0",",0")</f>
        <v>671217,74|2,0,0</v>
      </c>
      <c r="C74" t="str">
        <f>CONCATENATE(671077,",",ROW(I_06H01!C74),"|",COLUMN(I_06H01!C74),",0",",0")</f>
        <v>671077,74|3,0,0</v>
      </c>
      <c r="D74" t="str">
        <f>CONCATENATE(671475,",",ROW(I_06H01!D74),"|",COLUMN(I_06H01!D74),",0",",0")</f>
        <v>671475,74|4,0,0</v>
      </c>
      <c r="E74" t="str">
        <f>CONCATENATE(671182,",",ROW(I_06H01!E74),"|",COLUMN(I_06H01!E74),",0",",0")</f>
        <v>671182,74|5,0,0</v>
      </c>
    </row>
    <row r="75" spans="1:5" x14ac:dyDescent="0.25">
      <c r="A75" t="str">
        <f>CONCATENATE(671130,",",ROW(I_06H01!A75),"|",COLUMN(I_06H01!A75),",0",",0")</f>
        <v>671130,75|1,0,0</v>
      </c>
      <c r="B75" t="str">
        <f>CONCATENATE(671456,",",ROW(I_06H01!B75),"|",COLUMN(I_06H01!B75),",0",",0")</f>
        <v>671456,75|2,0,0</v>
      </c>
      <c r="C75" t="str">
        <f>CONCATENATE(671251,",",ROW(I_06H01!C75),"|",COLUMN(I_06H01!C75),",0",",0")</f>
        <v>671251,75|3,0,0</v>
      </c>
      <c r="D75" t="str">
        <f>CONCATENATE(671396,",",ROW(I_06H01!D75),"|",COLUMN(I_06H01!D75),",0",",0")</f>
        <v>671396,75|4,0,0</v>
      </c>
      <c r="E75" t="str">
        <f>CONCATENATE(671053,",",ROW(I_06H01!E75),"|",COLUMN(I_06H01!E75),",0",",0")</f>
        <v>671053,75|5,0,0</v>
      </c>
    </row>
    <row r="76" spans="1:5" x14ac:dyDescent="0.25">
      <c r="A76" t="str">
        <f>CONCATENATE(671131,",",ROW(I_06H01!A76),"|",COLUMN(I_06H01!A76),",0",",0")</f>
        <v>671131,76|1,0,0</v>
      </c>
      <c r="B76" t="str">
        <f>CONCATENATE(671457,",",ROW(I_06H01!B76),"|",COLUMN(I_06H01!B76),",0",",0")</f>
        <v>671457,76|2,0,0</v>
      </c>
      <c r="C76" t="str">
        <f>CONCATENATE(671252,",",ROW(I_06H01!C76),"|",COLUMN(I_06H01!C76),",0",",0")</f>
        <v>671252,76|3,0,0</v>
      </c>
      <c r="D76" t="str">
        <f>CONCATENATE(671397,",",ROW(I_06H01!D76),"|",COLUMN(I_06H01!D76),",0",",0")</f>
        <v>671397,76|4,0,0</v>
      </c>
      <c r="E76" t="str">
        <f>CONCATENATE(671054,",",ROW(I_06H01!E76),"|",COLUMN(I_06H01!E76),",0",",0")</f>
        <v>671054,76|5,0,0</v>
      </c>
    </row>
    <row r="77" spans="1:5" x14ac:dyDescent="0.25">
      <c r="A77" t="str">
        <f>CONCATENATE(671132,",",ROW(I_06H01!A77),"|",COLUMN(I_06H01!A77),",0",",0")</f>
        <v>671132,77|1,0,0</v>
      </c>
      <c r="B77" t="str">
        <f>CONCATENATE(671458,",",ROW(I_06H01!B77),"|",COLUMN(I_06H01!B77),",0",",0")</f>
        <v>671458,77|2,0,0</v>
      </c>
      <c r="C77" t="str">
        <f>CONCATENATE(671254,",",ROW(I_06H01!C77),"|",COLUMN(I_06H01!C77),",0",",0")</f>
        <v>671254,77|3,0,0</v>
      </c>
      <c r="D77" t="str">
        <f>CONCATENATE(671398,",",ROW(I_06H01!D77),"|",COLUMN(I_06H01!D77),",0",",0")</f>
        <v>671398,77|4,0,0</v>
      </c>
      <c r="E77" t="str">
        <f>CONCATENATE(671055,",",ROW(I_06H01!E77),"|",COLUMN(I_06H01!E77),",0",",0")</f>
        <v>671055,77|5,0,0</v>
      </c>
    </row>
    <row r="78" spans="1:5" x14ac:dyDescent="0.25">
      <c r="A78" t="str">
        <f>CONCATENATE(671448,",",ROW(I_06H01!A78),"|",COLUMN(I_06H01!A78),",0",",0")</f>
        <v>671448,78|1,0,0</v>
      </c>
      <c r="B78" t="str">
        <f>CONCATENATE(671459,",",ROW(I_06H01!B78),"|",COLUMN(I_06H01!B78),",0",",0")</f>
        <v>671459,78|2,0,0</v>
      </c>
      <c r="C78" t="str">
        <f>CONCATENATE(671255,",",ROW(I_06H01!C78),"|",COLUMN(I_06H01!C78),",0",",0")</f>
        <v>671255,78|3,0,0</v>
      </c>
      <c r="D78" t="str">
        <f>CONCATENATE(671399,",",ROW(I_06H01!D78),"|",COLUMN(I_06H01!D78),",0",",0")</f>
        <v>671399,78|4,0,0</v>
      </c>
      <c r="E78" t="str">
        <f>CONCATENATE(671056,",",ROW(I_06H01!E78),"|",COLUMN(I_06H01!E78),",0",",0")</f>
        <v>671056,78|5,0,0</v>
      </c>
    </row>
    <row r="79" spans="1:5" x14ac:dyDescent="0.25">
      <c r="A79" t="str">
        <f>CONCATENATE(671022,",",ROW(I_06H01!A79),"|",COLUMN(I_06H01!A79),",0",",0")</f>
        <v>671022,79|1,0,0</v>
      </c>
      <c r="B79" t="str">
        <f>CONCATENATE(671197,",",ROW(I_06H01!B79),"|",COLUMN(I_06H01!B79),",0",",0")</f>
        <v>671197,79|2,0,0</v>
      </c>
      <c r="C79" t="str">
        <f>CONCATENATE(671256,",",ROW(I_06H01!C79),"|",COLUMN(I_06H01!C79),",0",",0")</f>
        <v>671256,79|3,0,0</v>
      </c>
      <c r="D79" t="str">
        <f>CONCATENATE(671400,",",ROW(I_06H01!D79),"|",COLUMN(I_06H01!D79),",0",",0")</f>
        <v>671400,79|4,0,0</v>
      </c>
      <c r="E79" t="str">
        <f>CONCATENATE(671057,",",ROW(I_06H01!E79),"|",COLUMN(I_06H01!E79),",0",",0")</f>
        <v>671057,79|5,0,0</v>
      </c>
    </row>
    <row r="80" spans="1:5" x14ac:dyDescent="0.25">
      <c r="A80" t="str">
        <f>CONCATENATE(671134,",",ROW(I_06H01!A80),"|",COLUMN(I_06H01!A80),",0",",0")</f>
        <v>671134,80|1,0,0</v>
      </c>
      <c r="B80" t="str">
        <f>CONCATENATE(671218,",",ROW(I_06H01!B80),"|",COLUMN(I_06H01!B80),",0",",0")</f>
        <v>671218,80|2,0,0</v>
      </c>
      <c r="C80" t="str">
        <f>CONCATENATE(671253,",",ROW(I_06H01!C80),"|",COLUMN(I_06H01!C80),",0",",0")</f>
        <v>671253,80|3,0,0</v>
      </c>
      <c r="D80" t="str">
        <f>CONCATENATE(671506,",",ROW(I_06H01!D80),"|",COLUMN(I_06H01!D80),",0",",0")</f>
        <v>671506,80|4,0,0</v>
      </c>
      <c r="E80" t="str">
        <f>CONCATENATE(671183,",",ROW(I_06H01!E80),"|",COLUMN(I_06H01!E80),",0",",0")</f>
        <v>671183,80|5,0,0</v>
      </c>
    </row>
    <row r="81" spans="1:5" x14ac:dyDescent="0.25">
      <c r="A81" t="str">
        <f>CONCATENATE(671159,",",ROW(I_06H01!A81),"|",COLUMN(I_06H01!A81),",0",",0")</f>
        <v>671159,81|1,0,0</v>
      </c>
      <c r="B81" t="str">
        <f>CONCATENATE(671201,",",ROW(I_06H01!B81),"|",COLUMN(I_06H01!B81),",0",",0")</f>
        <v>671201,81|2,0,0</v>
      </c>
      <c r="C81" t="str">
        <f>CONCATENATE(671257,",",ROW(I_06H01!C81),"|",COLUMN(I_06H01!C81),",0",",0")</f>
        <v>671257,81|3,0,0</v>
      </c>
      <c r="D81" t="str">
        <f>CONCATENATE(671401,",",ROW(I_06H01!D81),"|",COLUMN(I_06H01!D81),",0",",0")</f>
        <v>671401,81|4,0,0</v>
      </c>
      <c r="E81" t="str">
        <f>CONCATENATE(671058,",",ROW(I_06H01!E81),"|",COLUMN(I_06H01!E81),",0",",0")</f>
        <v>671058,81|5,0,0</v>
      </c>
    </row>
    <row r="82" spans="1:5" x14ac:dyDescent="0.25">
      <c r="A82" t="str">
        <f>CONCATENATE(671160,",",ROW(I_06H01!A82),"|",COLUMN(I_06H01!A82),",0",",0")</f>
        <v>671160,82|1,0,0</v>
      </c>
      <c r="B82" t="str">
        <f>CONCATENATE(671235,",",ROW(I_06H01!B82),"|",COLUMN(I_06H01!B82),",0",",0")</f>
        <v>671235,82|2,0,0</v>
      </c>
      <c r="C82" t="str">
        <f>CONCATENATE(671258,",",ROW(I_06H01!C82),"|",COLUMN(I_06H01!C82),",0",",0")</f>
        <v>671258,82|3,0,0</v>
      </c>
      <c r="D82" t="str">
        <f>CONCATENATE(671402,",",ROW(I_06H01!D82),"|",COLUMN(I_06H01!D82),",0",",0")</f>
        <v>671402,82|4,0,0</v>
      </c>
      <c r="E82" t="str">
        <f>CONCATENATE(671059,",",ROW(I_06H01!E82),"|",COLUMN(I_06H01!E82),",0",",0")</f>
        <v>671059,82|5,0,0</v>
      </c>
    </row>
    <row r="83" spans="1:5" x14ac:dyDescent="0.25">
      <c r="A83" t="str">
        <f>CONCATENATE(671161,",",ROW(I_06H01!A83),"|",COLUMN(I_06H01!A83),",0",",0")</f>
        <v>671161,83|1,0,0</v>
      </c>
      <c r="B83" t="str">
        <f>CONCATENATE(671236,",",ROW(I_06H01!B83),"|",COLUMN(I_06H01!B83),",0",",0")</f>
        <v>671236,83|2,0,0</v>
      </c>
      <c r="C83" t="str">
        <f>CONCATENATE(671259,",",ROW(I_06H01!C83),"|",COLUMN(I_06H01!C83),",0",",0")</f>
        <v>671259,83|3,0,0</v>
      </c>
      <c r="D83" t="str">
        <f>CONCATENATE(671403,",",ROW(I_06H01!D83),"|",COLUMN(I_06H01!D83),",0",",0")</f>
        <v>671403,83|4,0,0</v>
      </c>
      <c r="E83" t="str">
        <f>CONCATENATE(671294,",",ROW(I_06H01!E83),"|",COLUMN(I_06H01!E83),",0",",0")</f>
        <v>671294,83|5,0,0</v>
      </c>
    </row>
    <row r="84" spans="1:5" x14ac:dyDescent="0.25">
      <c r="A84" t="str">
        <f>CONCATENATE(671162,",",ROW(I_06H01!A84),"|",COLUMN(I_06H01!A84),",0",",0")</f>
        <v>671162,84|1,0,0</v>
      </c>
      <c r="B84" t="str">
        <f>CONCATENATE(671220,",",ROW(I_06H01!B84),"|",COLUMN(I_06H01!B84),",0",",0")</f>
        <v>671220,84|2,0,0</v>
      </c>
      <c r="C84" t="str">
        <f>CONCATENATE(671079,",",ROW(I_06H01!C84),"|",COLUMN(I_06H01!C84),",0",",0")</f>
        <v>671079,84|3,0,0</v>
      </c>
      <c r="D84" t="str">
        <f>CONCATENATE(671477,",",ROW(I_06H01!D84),"|",COLUMN(I_06H01!D84),",0",",0")</f>
        <v>671477,84|4,0,0</v>
      </c>
      <c r="E84" t="str">
        <f>CONCATENATE(671185,",",ROW(I_06H01!E84),"|",COLUMN(I_06H01!E84),",0",",0")</f>
        <v>671185,84|5,0,0</v>
      </c>
    </row>
    <row r="85" spans="1:5" x14ac:dyDescent="0.25">
      <c r="A85" t="str">
        <f>CONCATENATE(671163,",",ROW(I_06H01!A85),"|",COLUMN(I_06H01!A85),",0",",0")</f>
        <v>671163,85|1,0,0</v>
      </c>
      <c r="B85" t="str">
        <f>CONCATENATE(671202,",",ROW(I_06H01!B85),"|",COLUMN(I_06H01!B85),",0",",0")</f>
        <v>671202,85|2,0,0</v>
      </c>
      <c r="C85" t="str">
        <f>CONCATENATE(671260,",",ROW(I_06H01!C85),"|",COLUMN(I_06H01!C85),",0",",0")</f>
        <v>671260,85|3,0,0</v>
      </c>
      <c r="D85" t="str">
        <f>CONCATENATE(671404,",",ROW(I_06H01!D85),"|",COLUMN(I_06H01!D85),",0",",0")</f>
        <v>671404,85|4,0,0</v>
      </c>
      <c r="E85" t="str">
        <f>CONCATENATE(671295,",",ROW(I_06H01!E85),"|",COLUMN(I_06H01!E85),",0",",0")</f>
        <v>671295,85|5,0,0</v>
      </c>
    </row>
    <row r="86" spans="1:5" x14ac:dyDescent="0.25">
      <c r="A86" t="str">
        <f>CONCATENATE(671324,",",ROW(I_06H01!A86),"|",COLUMN(I_06H01!A86),",0",",0")</f>
        <v>671324,86|1,0,0</v>
      </c>
      <c r="B86" t="str">
        <f>CONCATENATE(671221,",",ROW(I_06H01!B86),"|",COLUMN(I_06H01!B86),",0",",0")</f>
        <v>671221,86|2,0,0</v>
      </c>
      <c r="C86" t="str">
        <f>CONCATENATE(671080,",",ROW(I_06H01!C86),"|",COLUMN(I_06H01!C86),",0",",0")</f>
        <v>671080,86|3,0,0</v>
      </c>
      <c r="D86" t="str">
        <f>CONCATENATE(671478,",",ROW(I_06H01!D86),"|",COLUMN(I_06H01!D86),",0",",0")</f>
        <v>671478,86|4,0,0</v>
      </c>
      <c r="E86" t="str">
        <f>CONCATENATE(671136,",",ROW(I_06H01!E86),"|",COLUMN(I_06H01!E86),",0",",0")</f>
        <v>671136,86|5,0,0</v>
      </c>
    </row>
    <row r="87" spans="1:5" x14ac:dyDescent="0.25">
      <c r="A87" t="str">
        <f>CONCATENATE(671164,",",ROW(I_06H01!A87),"|",COLUMN(I_06H01!A87),",0",",0")</f>
        <v>671164,87|1,0,0</v>
      </c>
      <c r="B87" t="str">
        <f>CONCATENATE(671237,",",ROW(I_06H01!B87),"|",COLUMN(I_06H01!B87),",0",",0")</f>
        <v>671237,87|2,0,0</v>
      </c>
      <c r="C87" t="str">
        <f>CONCATENATE(671261,",",ROW(I_06H01!C87),"|",COLUMN(I_06H01!C87),",0",",0")</f>
        <v>671261,87|3,0,0</v>
      </c>
      <c r="D87" t="str">
        <f>CONCATENATE(671409,",",ROW(I_06H01!D87),"|",COLUMN(I_06H01!D87),",0",",0")</f>
        <v>671409,87|4,0,0</v>
      </c>
      <c r="E87" t="str">
        <f>CONCATENATE(671296,",",ROW(I_06H01!E87),"|",COLUMN(I_06H01!E87),",0",",0")</f>
        <v>671296,87|5,0,0</v>
      </c>
    </row>
    <row r="88" spans="1:5" x14ac:dyDescent="0.25">
      <c r="A88" t="str">
        <f>CONCATENATE(671165,",",ROW(I_06H01!A88),"|",COLUMN(I_06H01!A88),",0",",0")</f>
        <v>671165,88|1,0,0</v>
      </c>
      <c r="B88" t="str">
        <f>CONCATENATE(671203,",",ROW(I_06H01!B88),"|",COLUMN(I_06H01!B88),",0",",0")</f>
        <v>671203,88|2,0,0</v>
      </c>
      <c r="C88" t="str">
        <f>CONCATENATE(671262,",",ROW(I_06H01!C88),"|",COLUMN(I_06H01!C88),",0",",0")</f>
        <v>671262,88|3,0,0</v>
      </c>
      <c r="D88" t="str">
        <f>CONCATENATE(671412,",",ROW(I_06H01!D88),"|",COLUMN(I_06H01!D88),",0",",0")</f>
        <v>671412,88|4,0,0</v>
      </c>
      <c r="E88" t="str">
        <f>CONCATENATE(671187,",",ROW(I_06H01!E88),"|",COLUMN(I_06H01!E88),",0",",0")</f>
        <v>671187,88|5,0,0</v>
      </c>
    </row>
    <row r="89" spans="1:5" x14ac:dyDescent="0.25">
      <c r="A89" t="str">
        <f>CONCATENATE(671166,",",ROW(I_06H01!A89),"|",COLUMN(I_06H01!A89),",0",",0")</f>
        <v>671166,89|1,0,0</v>
      </c>
      <c r="B89" t="str">
        <f>CONCATENATE(671460,",",ROW(I_06H01!B89),"|",COLUMN(I_06H01!B89),",0",",0")</f>
        <v>671460,89|2,0,0</v>
      </c>
      <c r="C89" t="str">
        <f>CONCATENATE(671263,",",ROW(I_06H01!C89),"|",COLUMN(I_06H01!C89),",0",",0")</f>
        <v>671263,89|3,0,0</v>
      </c>
      <c r="D89" t="str">
        <f>CONCATENATE(671413,",",ROW(I_06H01!D89),"|",COLUMN(I_06H01!D89),",0",",0")</f>
        <v>671413,89|4,0,0</v>
      </c>
      <c r="E89" t="str">
        <f>CONCATENATE(671188,",",ROW(I_06H01!E89),"|",COLUMN(I_06H01!E89),",0",",0")</f>
        <v>671188,89|5,0,0</v>
      </c>
    </row>
    <row r="90" spans="1:5" x14ac:dyDescent="0.25">
      <c r="A90" t="str">
        <f>CONCATENATE(671167,",",ROW(I_06H01!A90),"|",COLUMN(I_06H01!A90),",0",",0")</f>
        <v>671167,90|1,0,0</v>
      </c>
      <c r="B90" t="str">
        <f>CONCATENATE(671453,",",ROW(I_06H01!B90),"|",COLUMN(I_06H01!B90),",0",",0")</f>
        <v>671453,90|2,0,0</v>
      </c>
      <c r="C90" t="str">
        <f>CONCATENATE(671155,",",ROW(I_06H01!C90),"|",COLUMN(I_06H01!C90),",0",",0")</f>
        <v>671155,90|3,0,0</v>
      </c>
      <c r="D90" t="str">
        <f>CONCATENATE(671328,",",ROW(I_06H01!D90),"|",COLUMN(I_06H01!D90),",0",",0")</f>
        <v>671328,90|4,0,0</v>
      </c>
      <c r="E90" t="str">
        <f>CONCATENATE(671143,",",ROW(I_06H01!E90),"|",COLUMN(I_06H01!E90),",0",",0")</f>
        <v>671143,90|5,0,0</v>
      </c>
    </row>
    <row r="91" spans="1:5" x14ac:dyDescent="0.25">
      <c r="A91" t="str">
        <f>CONCATENATE(671176,",",ROW(I_06H01!A91),"|",COLUMN(I_06H01!A91),",0",",0")</f>
        <v>671176,91|1,0,0</v>
      </c>
      <c r="B91" t="str">
        <f>CONCATENATE(671223,",",ROW(I_06H01!B91),"|",COLUMN(I_06H01!B91),",0",",0")</f>
        <v>671223,91|2,0,0</v>
      </c>
      <c r="C91" t="str">
        <f>CONCATENATE(671082,",",ROW(I_06H01!C91),"|",COLUMN(I_06H01!C91),",0",",0")</f>
        <v>671082,91|3,0,0</v>
      </c>
      <c r="D91" t="str">
        <f>CONCATENATE(671480,",",ROW(I_06H01!D91),"|",COLUMN(I_06H01!D91),",0",",0")</f>
        <v>671480,91|4,0,0</v>
      </c>
      <c r="E91" t="str">
        <f>CONCATENATE(671138,",",ROW(I_06H01!E91),"|",COLUMN(I_06H01!E91),",0",",0")</f>
        <v>671138,91|5,0,0</v>
      </c>
    </row>
    <row r="92" spans="1:5" x14ac:dyDescent="0.25">
      <c r="A92" t="str">
        <f>CONCATENATE(671023,",",ROW(I_06H01!A92),"|",COLUMN(I_06H01!A92),",0",",0")</f>
        <v>671023,92|1,0,0</v>
      </c>
      <c r="B92" t="str">
        <f>CONCATENATE(671449,",",ROW(I_06H01!B92),"|",COLUMN(I_06H01!B92),",0",",0")</f>
        <v>671449,92|2,0,0</v>
      </c>
      <c r="C92" t="str">
        <f>CONCATENATE(671083,",",ROW(I_06H01!C92),"|",COLUMN(I_06H01!C92),",0",",0")</f>
        <v>671083,92|3,0,0</v>
      </c>
      <c r="D92" t="str">
        <f>CONCATENATE(671481,",",ROW(I_06H01!D92),"|",COLUMN(I_06H01!D92),",0",",0")</f>
        <v>671481,92|4,0,0</v>
      </c>
      <c r="E92" t="str">
        <f>CONCATENATE(671139,",",ROW(I_06H01!E92),"|",COLUMN(I_06H01!E92),",0",",0")</f>
        <v>671139,92|5,0,0</v>
      </c>
    </row>
    <row r="93" spans="1:5" x14ac:dyDescent="0.25">
      <c r="A93" t="str">
        <f>CONCATENATE(671177,",",ROW(I_06H01!A93),"|",COLUMN(I_06H01!A93),",0",",0")</f>
        <v>671177,93|1,0,0</v>
      </c>
      <c r="B93" t="str">
        <f>CONCATENATE(671462,",",ROW(I_06H01!B93),"|",COLUMN(I_06H01!B93),",0",",0")</f>
        <v>671462,93|2,0,0</v>
      </c>
      <c r="C93" t="str">
        <f>CONCATENATE(671264,",",ROW(I_06H01!C93),"|",COLUMN(I_06H01!C93),",0",",0")</f>
        <v>671264,93|3,0,0</v>
      </c>
      <c r="D93" t="str">
        <f>CONCATENATE(671414,",",ROW(I_06H01!D93),"|",COLUMN(I_06H01!D93),",0",",0")</f>
        <v>671414,93|4,0,0</v>
      </c>
      <c r="E93" t="str">
        <f>CONCATENATE(671189,",",ROW(I_06H01!E93),"|",COLUMN(I_06H01!E93),",0",",0")</f>
        <v>671189,93|5,0,0</v>
      </c>
    </row>
    <row r="94" spans="1:5" x14ac:dyDescent="0.25">
      <c r="A94" t="str">
        <f>CONCATENATE(671178,",",ROW(I_06H01!A94),"|",COLUMN(I_06H01!A94),",0",",0")</f>
        <v>671178,94|1,0,0</v>
      </c>
      <c r="B94" t="str">
        <f>CONCATENATE(671461,",",ROW(I_06H01!B94),"|",COLUMN(I_06H01!B94),",0",",0")</f>
        <v>671461,94|2,0,0</v>
      </c>
      <c r="C94" t="str">
        <f>CONCATENATE(671265,",",ROW(I_06H01!C94),"|",COLUMN(I_06H01!C94),",0",",0")</f>
        <v>671265,94|3,0,0</v>
      </c>
      <c r="D94" t="str">
        <f>CONCATENATE(671415,",",ROW(I_06H01!D94),"|",COLUMN(I_06H01!D94),",0",",0")</f>
        <v>671415,94|4,0,0</v>
      </c>
      <c r="E94" t="str">
        <f>CONCATENATE(671473,",",ROW(I_06H01!E94),"|",COLUMN(I_06H01!E94),",0",",0")</f>
        <v>671473,94|5,0,0</v>
      </c>
    </row>
    <row r="95" spans="1:5" x14ac:dyDescent="0.25">
      <c r="A95" t="str">
        <f>CONCATENATE(671179,",",ROW(I_06H01!A95),"|",COLUMN(I_06H01!A95),",0",",0")</f>
        <v>671179,95|1,0,0</v>
      </c>
      <c r="B95" t="str">
        <f>CONCATENATE(671463,",",ROW(I_06H01!B95),"|",COLUMN(I_06H01!B95),",0",",0")</f>
        <v>671463,95|2,0,0</v>
      </c>
      <c r="C95" t="str">
        <f>CONCATENATE(671266,",",ROW(I_06H01!C95),"|",COLUMN(I_06H01!C95),",0",",0")</f>
        <v>671266,95|3,0,0</v>
      </c>
      <c r="D95" t="str">
        <f>CONCATENATE(671036,",",ROW(I_06H01!D95),"|",COLUMN(I_06H01!D95),",0",",0")</f>
        <v>671036,95|4,0,0</v>
      </c>
      <c r="E95" t="str">
        <f>CONCATENATE(671018,",",ROW(I_06H01!E95),"|",COLUMN(I_06H01!E95),",0",",0")</f>
        <v>671018,95|5,0,0</v>
      </c>
    </row>
    <row r="96" spans="1:5" x14ac:dyDescent="0.25">
      <c r="A96" t="str">
        <f>CONCATENATE(671180,",",ROW(I_06H01!A96),"|",COLUMN(I_06H01!A96),",0",",0")</f>
        <v>671180,96|1,0,0</v>
      </c>
      <c r="B96" t="str">
        <f>CONCATENATE(671274,",",ROW(I_06H01!B96),"|",COLUMN(I_06H01!B96),",0",",0")</f>
        <v>671274,96|2,0,0</v>
      </c>
      <c r="C96" t="str">
        <f>CONCATENATE(671267,",",ROW(I_06H01!C96),"|",COLUMN(I_06H01!C96),",0",",0")</f>
        <v>671267,96|3,0,0</v>
      </c>
      <c r="D96" t="str">
        <f>CONCATENATE(671037,",",ROW(I_06H01!D96),"|",COLUMN(I_06H01!D96),",0",",0")</f>
        <v>671037,96|4,0,0</v>
      </c>
      <c r="E96" t="str">
        <f>CONCATENATE(671019,",",ROW(I_06H01!E96),"|",COLUMN(I_06H01!E96),",0",",0")</f>
        <v>671019,96|5,0,0</v>
      </c>
    </row>
    <row r="97" spans="1:5" x14ac:dyDescent="0.25">
      <c r="A97" t="str">
        <f>CONCATENATE(671151,",",ROW(I_06H01!A97),"|",COLUMN(I_06H01!A97),",0",",0")</f>
        <v>671151,97|1,0,0</v>
      </c>
      <c r="B97" t="str">
        <f>CONCATENATE(671464,",",ROW(I_06H01!B97),"|",COLUMN(I_06H01!B97),",0",",0")</f>
        <v>671464,97|2,0,0</v>
      </c>
      <c r="C97" t="str">
        <f>CONCATENATE(671268,",",ROW(I_06H01!C97),"|",COLUMN(I_06H01!C97),",0",",0")</f>
        <v>671268,97|3,0,0</v>
      </c>
      <c r="D97" t="str">
        <f>CONCATENATE(671038,",",ROW(I_06H01!D97),"|",COLUMN(I_06H01!D97),",0",",0")</f>
        <v>671038,97|4,0,0</v>
      </c>
      <c r="E97" t="str">
        <f>CONCATENATE(671020,",",ROW(I_06H01!E97),"|",COLUMN(I_06H01!E97),",0",",0")</f>
        <v>671020,97|5,0,0</v>
      </c>
    </row>
    <row r="98" spans="1:5" x14ac:dyDescent="0.25">
      <c r="A98" t="str">
        <f>CONCATENATE(671017,",",ROW(I_06H01!A98),"|",COLUMN(I_06H01!A98),",0",",0")</f>
        <v>671017,98|1,0,0</v>
      </c>
      <c r="B98" t="str">
        <f>CONCATENATE(671450,",",ROW(I_06H01!B98),"|",COLUMN(I_06H01!B98),",0",",0")</f>
        <v>671450,98|2,0,0</v>
      </c>
      <c r="C98" t="str">
        <f>CONCATENATE(671152,",",ROW(I_06H01!C98),"|",COLUMN(I_06H01!C98),",0",",0")</f>
        <v>671152,98|3,0,0</v>
      </c>
      <c r="D98" t="str">
        <f>CONCATENATE(671482,",",ROW(I_06H01!D98),"|",COLUMN(I_06H01!D98),",0",",0")</f>
        <v>671482,98|4,0,0</v>
      </c>
      <c r="E98" t="str">
        <f>CONCATENATE(671140,",",ROW(I_06H01!E98),"|",COLUMN(I_06H01!E98),",0",",0")</f>
        <v>671140,98|5,0,0</v>
      </c>
    </row>
    <row r="99" spans="1:5" x14ac:dyDescent="0.25">
      <c r="A99" t="str">
        <f>CONCATENATE(671302,",",ROW(I_06H01!A99),"|",COLUMN(I_06H01!A99),",1",",0")</f>
        <v>671302,99|1,1,0</v>
      </c>
      <c r="B99" t="str">
        <f>CONCATENATE(671275,",",ROW(I_06H01!B99),"|",COLUMN(I_06H01!B99),",1",",0")</f>
        <v>671275,99|2,1,0</v>
      </c>
      <c r="C99" t="str">
        <f>CONCATENATE(671269,",",ROW(I_06H01!C99),"|",COLUMN(I_06H01!C99),",1",",0")</f>
        <v>671269,99|3,1,0</v>
      </c>
      <c r="D99" t="str">
        <f>CONCATENATE(671039,",",ROW(I_06H01!D99),"|",COLUMN(I_06H01!D99),",1",",0")</f>
        <v>671039,99|4,1,0</v>
      </c>
      <c r="E99" t="str">
        <f>CONCATENATE(671021,",",ROW(I_06H01!E99),"|",COLUMN(I_06H01!E99),",1",",0")</f>
        <v>671021,99|5,1,0</v>
      </c>
    </row>
    <row r="100" spans="1:5" x14ac:dyDescent="0.25">
      <c r="A100" t="str">
        <f>CONCATENATE(671303,",",ROW(I_06H01!A101),"|",COLUMN(I_06H01!A101),",0",",0")</f>
        <v>671303,101|1,0,0</v>
      </c>
      <c r="B100" t="str">
        <f>CONCATENATE(671451,",",ROW(I_06H01!B101),"|",COLUMN(I_06H01!B101),",0",",0")</f>
        <v>671451,101|2,0,0</v>
      </c>
      <c r="C100" t="str">
        <f>CONCATENATE(671153,",",ROW(I_06H01!C101),"|",COLUMN(I_06H01!C101),",0",",0")</f>
        <v>671153,101|3,0,0</v>
      </c>
      <c r="D100" t="str">
        <f>CONCATENATE(671483,",",ROW(I_06H01!D101),"|",COLUMN(I_06H01!D101),",0",",0")</f>
        <v>671483,101|4,0,0</v>
      </c>
      <c r="E100" t="str">
        <f>CONCATENATE(671141,",",ROW(I_06H01!E101),"|",COLUMN(I_06H01!E101),",0",",0")</f>
        <v>671141,101|5,0,0</v>
      </c>
    </row>
    <row r="101" spans="1:5" x14ac:dyDescent="0.25">
      <c r="A101" t="str">
        <f>CONCATENATE(671447,",",ROW(I_06H01!A102),"|",COLUMN(I_06H01!A102),",0",",0")</f>
        <v>671447,102|1,0,0</v>
      </c>
      <c r="B101" t="str">
        <f>CONCATENATE(671452,",",ROW(I_06H01!B102),"|",COLUMN(I_06H01!B102),",0",",0")</f>
        <v>671452,102|2,0,0</v>
      </c>
      <c r="C101" t="str">
        <f>CONCATENATE(671154,",",ROW(I_06H01!C102),"|",COLUMN(I_06H01!C102),",0",",0")</f>
        <v>671154,102|3,0,0</v>
      </c>
      <c r="D101" t="str">
        <f>CONCATENATE(671327,",",ROW(I_06H01!D102),"|",COLUMN(I_06H01!D102),",0",",0")</f>
        <v>671327,102|4,0,0</v>
      </c>
      <c r="E101" t="str">
        <f>CONCATENATE(671142,",",ROW(I_06H01!E102),"|",COLUMN(I_06H01!E102),",0",",0")</f>
        <v>671142,102|5,0,0</v>
      </c>
    </row>
  </sheetData>
  <sheetProtection password="CB7D"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7"/>
  <sheetViews>
    <sheetView topLeftCell="A66" workbookViewId="0">
      <selection activeCell="E62" sqref="E62"/>
    </sheetView>
  </sheetViews>
  <sheetFormatPr defaultRowHeight="15" x14ac:dyDescent="0.25"/>
  <cols>
    <col min="1" max="1" width="14.42578125" bestFit="1" customWidth="1"/>
    <col min="2" max="2" width="41.140625" customWidth="1"/>
    <col min="3" max="3" width="20.85546875" bestFit="1" customWidth="1"/>
    <col min="4" max="4" width="31.140625" style="903" customWidth="1"/>
    <col min="5" max="5" width="29.28515625" style="903" customWidth="1"/>
    <col min="8" max="8" width="16.28515625" bestFit="1" customWidth="1"/>
  </cols>
  <sheetData>
    <row r="1" spans="1:5" ht="20.25" x14ac:dyDescent="0.3">
      <c r="A1" s="1098" t="s">
        <v>10</v>
      </c>
      <c r="B1" s="1098" t="s">
        <v>5</v>
      </c>
      <c r="C1" s="1098" t="s">
        <v>5</v>
      </c>
      <c r="D1" s="1098" t="s">
        <v>5</v>
      </c>
      <c r="E1" s="1098" t="s">
        <v>5</v>
      </c>
    </row>
    <row r="2" spans="1:5" ht="18.75" x14ac:dyDescent="0.3">
      <c r="A2" s="1099" t="s">
        <v>184</v>
      </c>
      <c r="B2" s="1100" t="s">
        <v>5</v>
      </c>
      <c r="C2" s="1100" t="s">
        <v>5</v>
      </c>
      <c r="D2" s="1100" t="s">
        <v>5</v>
      </c>
      <c r="E2" s="1100" t="s">
        <v>5</v>
      </c>
    </row>
    <row r="3" spans="1:5" ht="18.75" x14ac:dyDescent="0.25">
      <c r="A3" s="1096" t="s">
        <v>0</v>
      </c>
      <c r="B3" s="1096" t="s">
        <v>182</v>
      </c>
      <c r="C3" s="233" t="s">
        <v>181</v>
      </c>
      <c r="D3" s="904" t="s">
        <v>183</v>
      </c>
      <c r="E3" s="904" t="s">
        <v>180</v>
      </c>
    </row>
    <row r="4" spans="1:5" ht="18.75" x14ac:dyDescent="0.25">
      <c r="A4" s="1097" t="s">
        <v>5</v>
      </c>
      <c r="B4" s="1097" t="s">
        <v>5</v>
      </c>
      <c r="C4" s="233" t="s">
        <v>179</v>
      </c>
      <c r="D4" s="904" t="s">
        <v>178</v>
      </c>
      <c r="E4" s="904" t="s">
        <v>177</v>
      </c>
    </row>
    <row r="5" spans="1:5" ht="82.5" x14ac:dyDescent="0.25">
      <c r="A5" s="320" t="s">
        <v>144</v>
      </c>
      <c r="B5" s="370" t="s">
        <v>255</v>
      </c>
      <c r="C5" s="390"/>
      <c r="D5" s="905"/>
      <c r="E5" s="966"/>
    </row>
    <row r="6" spans="1:5" ht="66" x14ac:dyDescent="0.25">
      <c r="A6" s="321" t="s">
        <v>82</v>
      </c>
      <c r="B6" s="357" t="s">
        <v>246</v>
      </c>
      <c r="C6" s="289" t="s">
        <v>215</v>
      </c>
      <c r="D6" s="906">
        <v>1075614516299</v>
      </c>
      <c r="E6" s="967" t="s">
        <v>5</v>
      </c>
    </row>
    <row r="7" spans="1:5" ht="66" x14ac:dyDescent="0.25">
      <c r="A7" s="322" t="s">
        <v>62</v>
      </c>
      <c r="B7" s="358" t="s">
        <v>247</v>
      </c>
      <c r="C7" s="399" t="s">
        <v>215</v>
      </c>
      <c r="D7" s="907">
        <v>0</v>
      </c>
      <c r="E7" s="968" t="s">
        <v>5</v>
      </c>
    </row>
    <row r="8" spans="1:5" ht="49.5" x14ac:dyDescent="0.25">
      <c r="A8" s="317" t="s">
        <v>46</v>
      </c>
      <c r="B8" s="359" t="s">
        <v>248</v>
      </c>
      <c r="C8" s="295" t="s">
        <v>215</v>
      </c>
      <c r="D8" s="908">
        <v>1329277455324.6987</v>
      </c>
      <c r="E8" s="969" t="s">
        <v>5</v>
      </c>
    </row>
    <row r="9" spans="1:5" ht="66" x14ac:dyDescent="0.25">
      <c r="A9" s="318" t="s">
        <v>81</v>
      </c>
      <c r="B9" s="371" t="s">
        <v>256</v>
      </c>
      <c r="C9" s="389"/>
      <c r="D9" s="909"/>
      <c r="E9" s="970"/>
    </row>
    <row r="10" spans="1:5" ht="66" x14ac:dyDescent="0.25">
      <c r="A10" s="346" t="s">
        <v>51</v>
      </c>
      <c r="B10" s="345" t="s">
        <v>240</v>
      </c>
      <c r="C10" s="305" t="s">
        <v>215</v>
      </c>
      <c r="D10" s="910" t="s">
        <v>5</v>
      </c>
      <c r="E10" s="971" t="s">
        <v>5</v>
      </c>
    </row>
    <row r="11" spans="1:5" ht="165" x14ac:dyDescent="0.25">
      <c r="A11" s="348" t="s">
        <v>52</v>
      </c>
      <c r="B11" s="372" t="s">
        <v>257</v>
      </c>
      <c r="C11" s="306" t="s">
        <v>46</v>
      </c>
      <c r="D11" s="911"/>
      <c r="E11" s="972"/>
    </row>
    <row r="12" spans="1:5" ht="49.5" x14ac:dyDescent="0.25">
      <c r="A12" s="333" t="s">
        <v>132</v>
      </c>
      <c r="B12" s="404" t="s">
        <v>278</v>
      </c>
      <c r="C12" s="234"/>
      <c r="D12" s="912" t="s">
        <v>5</v>
      </c>
      <c r="E12" s="973" t="s">
        <v>5</v>
      </c>
    </row>
    <row r="13" spans="1:5" ht="49.5" x14ac:dyDescent="0.25">
      <c r="A13" s="405" t="s">
        <v>279</v>
      </c>
      <c r="B13" s="413" t="s">
        <v>284</v>
      </c>
      <c r="C13" s="307" t="s">
        <v>215</v>
      </c>
      <c r="D13" s="913" t="s">
        <v>5</v>
      </c>
      <c r="E13" s="974" t="s">
        <v>5</v>
      </c>
    </row>
    <row r="14" spans="1:5" ht="66" x14ac:dyDescent="0.25">
      <c r="A14" s="387" t="s">
        <v>271</v>
      </c>
      <c r="B14" s="253" t="s">
        <v>188</v>
      </c>
      <c r="C14" s="410" t="s">
        <v>46</v>
      </c>
      <c r="D14" s="914" t="s">
        <v>5</v>
      </c>
      <c r="E14" s="975" t="s">
        <v>5</v>
      </c>
    </row>
    <row r="15" spans="1:5" ht="49.5" x14ac:dyDescent="0.25">
      <c r="A15" s="252" t="s">
        <v>187</v>
      </c>
      <c r="B15" s="394" t="s">
        <v>274</v>
      </c>
      <c r="C15" s="411" t="s">
        <v>52</v>
      </c>
      <c r="D15" s="915" t="s">
        <v>5</v>
      </c>
      <c r="E15" s="976" t="s">
        <v>5</v>
      </c>
    </row>
    <row r="16" spans="1:5" ht="49.5" x14ac:dyDescent="0.25">
      <c r="A16" s="388" t="s">
        <v>272</v>
      </c>
      <c r="B16" s="395" t="s">
        <v>275</v>
      </c>
      <c r="C16" s="327" t="s">
        <v>64</v>
      </c>
      <c r="D16" s="916">
        <v>151984808221</v>
      </c>
      <c r="E16" s="977">
        <v>15198480822.1</v>
      </c>
    </row>
    <row r="17" spans="1:8" ht="66" x14ac:dyDescent="0.25">
      <c r="A17" s="349" t="s">
        <v>133</v>
      </c>
      <c r="B17" s="275" t="s">
        <v>202</v>
      </c>
      <c r="C17" s="391"/>
      <c r="D17" s="917"/>
      <c r="E17" s="978">
        <v>743217260297</v>
      </c>
    </row>
    <row r="18" spans="1:8" ht="16.5" x14ac:dyDescent="0.25">
      <c r="A18" s="254" t="s">
        <v>55</v>
      </c>
      <c r="B18" s="377" t="s">
        <v>262</v>
      </c>
      <c r="C18" s="392"/>
      <c r="D18" s="918"/>
      <c r="E18" s="979"/>
    </row>
    <row r="19" spans="1:8" ht="82.5" x14ac:dyDescent="0.25">
      <c r="A19" s="350" t="s">
        <v>56</v>
      </c>
      <c r="B19" s="276" t="s">
        <v>203</v>
      </c>
      <c r="C19" s="412" t="s">
        <v>215</v>
      </c>
      <c r="D19" s="919"/>
      <c r="E19" s="980" t="s">
        <v>5</v>
      </c>
    </row>
    <row r="20" spans="1:8" ht="49.5" x14ac:dyDescent="0.25">
      <c r="A20" s="351" t="s">
        <v>135</v>
      </c>
      <c r="B20" s="343" t="s">
        <v>238</v>
      </c>
      <c r="C20" s="400" t="s">
        <v>52</v>
      </c>
      <c r="D20" s="920" t="s">
        <v>5</v>
      </c>
      <c r="E20" s="981" t="s">
        <v>5</v>
      </c>
    </row>
    <row r="21" spans="1:8" ht="49.5" x14ac:dyDescent="0.25">
      <c r="A21" s="352" t="s">
        <v>136</v>
      </c>
      <c r="B21" s="375" t="s">
        <v>260</v>
      </c>
      <c r="C21" s="401" t="s">
        <v>64</v>
      </c>
      <c r="D21" s="921" t="s">
        <v>5</v>
      </c>
      <c r="E21" s="982" t="s">
        <v>5</v>
      </c>
    </row>
    <row r="22" spans="1:8" ht="82.5" x14ac:dyDescent="0.25">
      <c r="A22" s="353" t="s">
        <v>242</v>
      </c>
      <c r="B22" s="334" t="s">
        <v>232</v>
      </c>
      <c r="C22" s="308" t="s">
        <v>124</v>
      </c>
      <c r="D22" s="922" t="s">
        <v>5</v>
      </c>
      <c r="E22" s="983" t="s">
        <v>5</v>
      </c>
    </row>
    <row r="23" spans="1:8" ht="33" x14ac:dyDescent="0.25">
      <c r="A23" s="378" t="s">
        <v>108</v>
      </c>
      <c r="B23" s="379" t="s">
        <v>263</v>
      </c>
      <c r="C23" s="242"/>
      <c r="D23" s="923"/>
      <c r="E23" s="984"/>
      <c r="H23" s="1074"/>
    </row>
    <row r="24" spans="1:8" ht="66" x14ac:dyDescent="0.25">
      <c r="A24" s="354" t="s">
        <v>243</v>
      </c>
      <c r="B24" s="280" t="s">
        <v>206</v>
      </c>
      <c r="C24" s="402" t="s">
        <v>52</v>
      </c>
      <c r="D24" s="924" t="s">
        <v>5</v>
      </c>
      <c r="E24" s="985" t="s">
        <v>5</v>
      </c>
    </row>
    <row r="25" spans="1:8" ht="66" x14ac:dyDescent="0.25">
      <c r="A25" s="355" t="s">
        <v>244</v>
      </c>
      <c r="B25" s="267" t="s">
        <v>200</v>
      </c>
      <c r="C25" s="309" t="s">
        <v>64</v>
      </c>
      <c r="D25" s="925" t="s">
        <v>5</v>
      </c>
      <c r="E25" s="986" t="s">
        <v>5</v>
      </c>
    </row>
    <row r="26" spans="1:8" ht="66" x14ac:dyDescent="0.25">
      <c r="A26" s="356" t="s">
        <v>245</v>
      </c>
      <c r="B26" s="319" t="s">
        <v>227</v>
      </c>
      <c r="C26" s="310" t="s">
        <v>194</v>
      </c>
      <c r="D26" s="926" t="s">
        <v>5</v>
      </c>
      <c r="E26" s="987" t="s">
        <v>5</v>
      </c>
    </row>
    <row r="27" spans="1:8" ht="66" x14ac:dyDescent="0.25">
      <c r="A27" s="268" t="s">
        <v>201</v>
      </c>
      <c r="B27" s="368" t="s">
        <v>253</v>
      </c>
      <c r="C27" s="311" t="s">
        <v>205</v>
      </c>
      <c r="D27" s="927" t="s">
        <v>5</v>
      </c>
      <c r="E27" s="988" t="s">
        <v>5</v>
      </c>
    </row>
    <row r="28" spans="1:8" ht="66" x14ac:dyDescent="0.25">
      <c r="A28" s="323" t="s">
        <v>228</v>
      </c>
      <c r="B28" s="380" t="s">
        <v>264</v>
      </c>
      <c r="C28" s="335" t="s">
        <v>124</v>
      </c>
      <c r="D28" s="928">
        <v>158456855648</v>
      </c>
      <c r="E28" s="989">
        <v>23768528347.200001</v>
      </c>
    </row>
    <row r="29" spans="1:8" ht="66" x14ac:dyDescent="0.25">
      <c r="A29" s="376" t="s">
        <v>261</v>
      </c>
      <c r="B29" s="406" t="s">
        <v>280</v>
      </c>
      <c r="C29" s="336" t="s">
        <v>194</v>
      </c>
      <c r="D29" s="929">
        <v>1764193705433</v>
      </c>
      <c r="E29" s="990">
        <v>352838741086.60004</v>
      </c>
    </row>
    <row r="30" spans="1:8" ht="66" x14ac:dyDescent="0.25">
      <c r="A30" s="396" t="s">
        <v>276</v>
      </c>
      <c r="B30" s="381" t="s">
        <v>265</v>
      </c>
      <c r="C30" s="337" t="s">
        <v>217</v>
      </c>
      <c r="D30" s="930">
        <v>397866134830</v>
      </c>
      <c r="E30" s="991">
        <v>119359840449</v>
      </c>
    </row>
    <row r="31" spans="1:8" ht="66" x14ac:dyDescent="0.25">
      <c r="A31" s="397" t="s">
        <v>277</v>
      </c>
      <c r="B31" s="382" t="s">
        <v>266</v>
      </c>
      <c r="C31" s="330" t="s">
        <v>218</v>
      </c>
      <c r="D31" s="931" t="s">
        <v>5</v>
      </c>
      <c r="E31" s="992" t="s">
        <v>5</v>
      </c>
    </row>
    <row r="32" spans="1:8" ht="181.5" x14ac:dyDescent="0.25">
      <c r="A32" s="269"/>
      <c r="B32" s="281" t="s">
        <v>207</v>
      </c>
      <c r="C32" s="243"/>
      <c r="D32" s="932"/>
      <c r="E32" s="993">
        <v>247250150414.19998</v>
      </c>
    </row>
    <row r="33" spans="1:5" ht="41.25" customHeight="1" x14ac:dyDescent="0.25">
      <c r="A33" s="1076">
        <v>1</v>
      </c>
      <c r="B33" s="1077" t="s">
        <v>365</v>
      </c>
      <c r="C33" s="243"/>
      <c r="D33" s="993">
        <v>271279062473</v>
      </c>
      <c r="E33" s="993">
        <v>27127906247</v>
      </c>
    </row>
    <row r="34" spans="1:5" ht="41.25" customHeight="1" x14ac:dyDescent="0.25">
      <c r="A34" s="1076">
        <v>2</v>
      </c>
      <c r="B34" s="1077" t="s">
        <v>366</v>
      </c>
      <c r="C34" s="243"/>
      <c r="D34" s="993">
        <v>101844753426</v>
      </c>
      <c r="E34" s="993">
        <v>10184475343</v>
      </c>
    </row>
    <row r="35" spans="1:5" ht="41.25" customHeight="1" x14ac:dyDescent="0.25">
      <c r="A35" s="1076">
        <v>3</v>
      </c>
      <c r="B35" s="1077" t="s">
        <v>367</v>
      </c>
      <c r="C35" s="243"/>
      <c r="D35" s="993">
        <v>50140054795</v>
      </c>
      <c r="E35" s="993">
        <v>5014005480</v>
      </c>
    </row>
    <row r="36" spans="1:5" ht="41.25" customHeight="1" x14ac:dyDescent="0.25">
      <c r="A36" s="1076">
        <v>4</v>
      </c>
      <c r="B36" s="1077" t="s">
        <v>368</v>
      </c>
      <c r="C36" s="243"/>
      <c r="D36" s="993">
        <v>31066333711</v>
      </c>
      <c r="E36" s="993">
        <v>3106633371</v>
      </c>
    </row>
    <row r="37" spans="1:5" ht="41.25" customHeight="1" x14ac:dyDescent="0.25">
      <c r="A37" s="1076">
        <v>5</v>
      </c>
      <c r="B37" s="1077" t="s">
        <v>369</v>
      </c>
      <c r="C37" s="243"/>
      <c r="D37" s="933">
        <v>15729845520</v>
      </c>
      <c r="E37" s="933">
        <v>1572984552</v>
      </c>
    </row>
    <row r="38" spans="1:5" s="609" customFormat="1" ht="41.25" customHeight="1" x14ac:dyDescent="0.25">
      <c r="A38" s="1076">
        <v>6</v>
      </c>
      <c r="B38" s="1077" t="s">
        <v>370</v>
      </c>
      <c r="C38" s="243"/>
      <c r="D38" s="933">
        <v>748749131370</v>
      </c>
      <c r="E38" s="933">
        <v>74874913137</v>
      </c>
    </row>
    <row r="39" spans="1:5" s="609" customFormat="1" ht="41.25" customHeight="1" x14ac:dyDescent="0.25">
      <c r="A39" s="1076">
        <v>7</v>
      </c>
      <c r="B39" s="1077" t="s">
        <v>371</v>
      </c>
      <c r="C39" s="243"/>
      <c r="D39" s="933">
        <v>43878889330</v>
      </c>
      <c r="E39" s="933">
        <v>4387888933</v>
      </c>
    </row>
    <row r="40" spans="1:5" s="609" customFormat="1" ht="41.25" customHeight="1" x14ac:dyDescent="0.25">
      <c r="A40" s="1076">
        <v>8</v>
      </c>
      <c r="B40" s="1077" t="s">
        <v>372</v>
      </c>
      <c r="C40" s="243"/>
      <c r="D40" s="933">
        <v>80357462327</v>
      </c>
      <c r="E40" s="933">
        <v>8035746233</v>
      </c>
    </row>
    <row r="41" spans="1:5" s="609" customFormat="1" ht="41.25" customHeight="1" x14ac:dyDescent="0.25">
      <c r="A41" s="1076">
        <v>9</v>
      </c>
      <c r="B41" s="1077" t="s">
        <v>373</v>
      </c>
      <c r="C41" s="243"/>
      <c r="D41" s="933">
        <v>366799801119</v>
      </c>
      <c r="E41" s="933">
        <v>36679980112</v>
      </c>
    </row>
    <row r="42" spans="1:5" s="609" customFormat="1" ht="41.25" customHeight="1" x14ac:dyDescent="0.25">
      <c r="A42" s="1076">
        <v>10</v>
      </c>
      <c r="B42" s="1077" t="s">
        <v>374</v>
      </c>
      <c r="C42" s="243"/>
      <c r="D42" s="933">
        <v>762656170061</v>
      </c>
      <c r="E42" s="933">
        <v>76265617006</v>
      </c>
    </row>
    <row r="43" spans="1:5" ht="33" x14ac:dyDescent="0.25">
      <c r="A43" s="270" t="s">
        <v>134</v>
      </c>
      <c r="B43" s="282" t="s">
        <v>208</v>
      </c>
      <c r="C43" s="312"/>
      <c r="D43" s="934" t="s">
        <v>5</v>
      </c>
      <c r="E43" s="1078">
        <v>187772830330</v>
      </c>
    </row>
    <row r="44" spans="1:5" ht="82.5" x14ac:dyDescent="0.25">
      <c r="A44" s="271" t="s">
        <v>137</v>
      </c>
      <c r="B44" s="369" t="s">
        <v>254</v>
      </c>
      <c r="C44" s="331" t="s">
        <v>64</v>
      </c>
      <c r="D44" s="935">
        <v>129908516100</v>
      </c>
      <c r="E44" s="994">
        <v>12990851610</v>
      </c>
    </row>
    <row r="45" spans="1:5" ht="66" x14ac:dyDescent="0.25">
      <c r="A45" s="272" t="s">
        <v>64</v>
      </c>
      <c r="B45" s="283" t="s">
        <v>209</v>
      </c>
      <c r="C45" s="332" t="s">
        <v>194</v>
      </c>
      <c r="D45" s="936">
        <v>873909893600</v>
      </c>
      <c r="E45" s="995">
        <v>174781978720</v>
      </c>
    </row>
    <row r="46" spans="1:5" ht="99" x14ac:dyDescent="0.25">
      <c r="A46" s="273" t="s">
        <v>68</v>
      </c>
      <c r="B46" s="393" t="s">
        <v>273</v>
      </c>
      <c r="C46" s="403" t="s">
        <v>217</v>
      </c>
      <c r="D46" s="937" t="s">
        <v>5</v>
      </c>
      <c r="E46" s="996" t="s">
        <v>5</v>
      </c>
    </row>
    <row r="47" spans="1:5" ht="66" x14ac:dyDescent="0.25">
      <c r="A47" s="266" t="s">
        <v>138</v>
      </c>
      <c r="B47" s="338" t="s">
        <v>233</v>
      </c>
      <c r="C47" s="313"/>
      <c r="D47" s="938" t="s">
        <v>5</v>
      </c>
      <c r="E47" s="997">
        <v>5195822000</v>
      </c>
    </row>
    <row r="48" spans="1:5" ht="82.5" x14ac:dyDescent="0.25">
      <c r="A48" s="360" t="s">
        <v>72</v>
      </c>
      <c r="B48" s="347" t="s">
        <v>241</v>
      </c>
      <c r="C48" s="235" t="s">
        <v>64</v>
      </c>
      <c r="D48" s="939">
        <v>51958220000</v>
      </c>
      <c r="E48" s="998">
        <v>5195822000</v>
      </c>
    </row>
    <row r="49" spans="1:5" ht="16.5" x14ac:dyDescent="0.25">
      <c r="A49" s="361" t="s">
        <v>76</v>
      </c>
      <c r="B49" s="284" t="s">
        <v>210</v>
      </c>
      <c r="C49" s="290" t="s">
        <v>216</v>
      </c>
      <c r="D49" s="940" t="s">
        <v>5</v>
      </c>
      <c r="E49" s="999" t="s">
        <v>5</v>
      </c>
    </row>
    <row r="50" spans="1:5" ht="16.5" x14ac:dyDescent="0.25">
      <c r="A50" s="362" t="s">
        <v>80</v>
      </c>
      <c r="B50" s="373" t="s">
        <v>258</v>
      </c>
      <c r="C50" s="291" t="s">
        <v>217</v>
      </c>
      <c r="D50" s="941" t="s">
        <v>5</v>
      </c>
      <c r="E50" s="1000" t="s">
        <v>5</v>
      </c>
    </row>
    <row r="51" spans="1:5" ht="97.5" customHeight="1" x14ac:dyDescent="0.25">
      <c r="A51" s="256" t="s">
        <v>190</v>
      </c>
      <c r="B51" s="286" t="s">
        <v>212</v>
      </c>
      <c r="C51" s="244"/>
      <c r="D51" s="942"/>
      <c r="E51" s="1001">
        <v>1620469277.5999999</v>
      </c>
    </row>
    <row r="52" spans="1:5" ht="16.5" x14ac:dyDescent="0.25">
      <c r="A52" s="398" t="s">
        <v>124</v>
      </c>
      <c r="B52" s="326" t="s">
        <v>230</v>
      </c>
      <c r="C52" s="292" t="s">
        <v>218</v>
      </c>
      <c r="D52" s="943">
        <v>4594100000</v>
      </c>
      <c r="E52" s="1002">
        <v>1607935000</v>
      </c>
    </row>
    <row r="53" spans="1:5" ht="16.5" x14ac:dyDescent="0.25">
      <c r="A53" s="324" t="s">
        <v>125</v>
      </c>
      <c r="B53" s="383" t="s">
        <v>267</v>
      </c>
      <c r="C53" s="293" t="s">
        <v>219</v>
      </c>
      <c r="D53" s="944" t="s">
        <v>5</v>
      </c>
      <c r="E53" s="1003" t="s">
        <v>5</v>
      </c>
    </row>
    <row r="54" spans="1:5" ht="16.5" x14ac:dyDescent="0.25">
      <c r="A54" s="325" t="s">
        <v>229</v>
      </c>
      <c r="B54" s="407" t="s">
        <v>281</v>
      </c>
      <c r="C54" s="294" t="s">
        <v>220</v>
      </c>
      <c r="D54" s="945" t="s">
        <v>5</v>
      </c>
      <c r="E54" s="1004" t="s">
        <v>5</v>
      </c>
    </row>
    <row r="55" spans="1:5" ht="66" x14ac:dyDescent="0.25">
      <c r="A55" s="257" t="s">
        <v>191</v>
      </c>
      <c r="B55" s="285" t="s">
        <v>211</v>
      </c>
      <c r="C55" s="328" t="s">
        <v>231</v>
      </c>
      <c r="D55" s="946" t="s">
        <v>5</v>
      </c>
      <c r="E55" s="1005" t="s">
        <v>5</v>
      </c>
    </row>
    <row r="56" spans="1:5" ht="33" x14ac:dyDescent="0.25">
      <c r="A56" s="258" t="s">
        <v>192</v>
      </c>
      <c r="B56" s="385" t="s">
        <v>269</v>
      </c>
      <c r="C56" s="329" t="s">
        <v>186</v>
      </c>
      <c r="D56" s="947">
        <v>15667847</v>
      </c>
      <c r="E56" s="1006">
        <v>12534277.600000001</v>
      </c>
    </row>
    <row r="57" spans="1:5" ht="66" x14ac:dyDescent="0.25">
      <c r="A57" s="259" t="s">
        <v>193</v>
      </c>
      <c r="B57" s="374" t="s">
        <v>259</v>
      </c>
      <c r="C57" s="245"/>
      <c r="D57" s="948"/>
      <c r="E57" s="1007"/>
    </row>
    <row r="58" spans="1:5" ht="33" x14ac:dyDescent="0.25">
      <c r="A58" s="260" t="s">
        <v>194</v>
      </c>
      <c r="B58" s="386" t="s">
        <v>270</v>
      </c>
      <c r="C58" s="296" t="s">
        <v>108</v>
      </c>
      <c r="D58" s="949" t="s">
        <v>5</v>
      </c>
      <c r="E58" s="1008" t="s">
        <v>5</v>
      </c>
    </row>
    <row r="59" spans="1:5" ht="120" customHeight="1" x14ac:dyDescent="0.25">
      <c r="A59" s="236"/>
      <c r="B59" s="384" t="s">
        <v>268</v>
      </c>
      <c r="C59" s="237"/>
      <c r="D59" s="950"/>
      <c r="E59" s="1009"/>
    </row>
    <row r="60" spans="1:5" ht="33" x14ac:dyDescent="0.25">
      <c r="A60" s="261" t="s">
        <v>195</v>
      </c>
      <c r="B60" s="339" t="s">
        <v>234</v>
      </c>
      <c r="C60" s="297" t="s">
        <v>46</v>
      </c>
      <c r="D60" s="951" t="s">
        <v>5</v>
      </c>
      <c r="E60" s="1010" t="s">
        <v>5</v>
      </c>
    </row>
    <row r="61" spans="1:5" ht="45" customHeight="1" x14ac:dyDescent="0.25">
      <c r="A61" s="246"/>
      <c r="B61" s="364" t="s">
        <v>250</v>
      </c>
      <c r="C61" s="247"/>
      <c r="D61" s="952"/>
      <c r="E61" s="1011"/>
    </row>
    <row r="62" spans="1:5" ht="66" x14ac:dyDescent="0.25">
      <c r="A62" s="262" t="s">
        <v>196</v>
      </c>
      <c r="B62" s="301" t="s">
        <v>222</v>
      </c>
      <c r="C62" s="238"/>
      <c r="D62" s="953" t="s">
        <v>5</v>
      </c>
      <c r="E62" s="1012">
        <v>7165274000</v>
      </c>
    </row>
    <row r="63" spans="1:5" ht="66" x14ac:dyDescent="0.25">
      <c r="A63" s="264" t="s">
        <v>198</v>
      </c>
      <c r="B63" s="340" t="s">
        <v>235</v>
      </c>
      <c r="C63" s="298" t="s">
        <v>205</v>
      </c>
      <c r="D63" s="954" t="s">
        <v>5</v>
      </c>
      <c r="E63" s="1013" t="s">
        <v>5</v>
      </c>
    </row>
    <row r="64" spans="1:5" ht="82.5" x14ac:dyDescent="0.25">
      <c r="A64" s="265" t="s">
        <v>199</v>
      </c>
      <c r="B64" s="341" t="s">
        <v>236</v>
      </c>
      <c r="C64" s="299" t="s">
        <v>221</v>
      </c>
      <c r="D64" s="955" t="s">
        <v>5</v>
      </c>
      <c r="E64" s="1014" t="s">
        <v>5</v>
      </c>
    </row>
    <row r="65" spans="1:5" ht="66" x14ac:dyDescent="0.25">
      <c r="A65" s="277" t="s">
        <v>204</v>
      </c>
      <c r="B65" s="342" t="s">
        <v>237</v>
      </c>
      <c r="C65" s="300" t="s">
        <v>108</v>
      </c>
      <c r="D65" s="956" t="s">
        <v>5</v>
      </c>
      <c r="E65" s="1015" t="s">
        <v>5</v>
      </c>
    </row>
    <row r="66" spans="1:5" ht="33" x14ac:dyDescent="0.25">
      <c r="A66" s="278" t="s">
        <v>205</v>
      </c>
      <c r="B66" s="302" t="s">
        <v>223</v>
      </c>
      <c r="C66" s="248" t="s">
        <v>62</v>
      </c>
      <c r="D66" s="957" t="s">
        <v>5</v>
      </c>
      <c r="E66" s="1016" t="s">
        <v>5</v>
      </c>
    </row>
    <row r="67" spans="1:5" ht="33" x14ac:dyDescent="0.25">
      <c r="A67" s="408" t="s">
        <v>282</v>
      </c>
      <c r="B67" s="409" t="s">
        <v>283</v>
      </c>
      <c r="C67" s="249" t="s">
        <v>186</v>
      </c>
      <c r="D67" s="958">
        <v>8956592500</v>
      </c>
      <c r="E67" s="1017">
        <v>7165274000</v>
      </c>
    </row>
    <row r="68" spans="1:5" ht="49.5" x14ac:dyDescent="0.25">
      <c r="A68" s="263" t="s">
        <v>197</v>
      </c>
      <c r="B68" s="287" t="s">
        <v>213</v>
      </c>
      <c r="C68" s="250"/>
      <c r="D68" s="959" t="s">
        <v>5</v>
      </c>
      <c r="E68" s="1018" t="s">
        <v>5</v>
      </c>
    </row>
    <row r="69" spans="1:5" ht="66" x14ac:dyDescent="0.25">
      <c r="A69" s="279"/>
      <c r="B69" s="303" t="s">
        <v>224</v>
      </c>
      <c r="C69" s="240" t="s">
        <v>5</v>
      </c>
      <c r="D69" s="960" t="s">
        <v>5</v>
      </c>
      <c r="E69" s="1019" t="s">
        <v>5</v>
      </c>
    </row>
    <row r="70" spans="1:5" ht="82.5" x14ac:dyDescent="0.25">
      <c r="A70" s="239" t="s">
        <v>185</v>
      </c>
      <c r="B70" s="363" t="s">
        <v>249</v>
      </c>
      <c r="C70" s="241"/>
      <c r="D70" s="961" t="s">
        <v>5</v>
      </c>
      <c r="E70" s="1020" t="s">
        <v>5</v>
      </c>
    </row>
    <row r="71" spans="1:5" ht="82.5" x14ac:dyDescent="0.25">
      <c r="A71" s="365" t="s">
        <v>251</v>
      </c>
      <c r="B71" s="304" t="s">
        <v>225</v>
      </c>
      <c r="C71" s="314" t="s">
        <v>5</v>
      </c>
      <c r="D71" s="962" t="s">
        <v>5</v>
      </c>
      <c r="E71" s="1021" t="s">
        <v>5</v>
      </c>
    </row>
    <row r="72" spans="1:5" ht="49.5" x14ac:dyDescent="0.25">
      <c r="A72" s="366" t="s">
        <v>252</v>
      </c>
      <c r="B72" s="255" t="s">
        <v>189</v>
      </c>
      <c r="C72" s="315" t="s">
        <v>5</v>
      </c>
      <c r="D72" s="963" t="s">
        <v>5</v>
      </c>
      <c r="E72" s="1022">
        <v>90684318085.859985</v>
      </c>
    </row>
    <row r="73" spans="1:5" ht="16.5" x14ac:dyDescent="0.25">
      <c r="A73" s="367"/>
      <c r="B73" s="344" t="s">
        <v>239</v>
      </c>
      <c r="C73" s="316" t="s">
        <v>226</v>
      </c>
      <c r="D73" s="964" t="s">
        <v>183</v>
      </c>
      <c r="E73" s="1023" t="s">
        <v>180</v>
      </c>
    </row>
    <row r="74" spans="1:5" s="609" customFormat="1" ht="16.5" x14ac:dyDescent="0.25">
      <c r="A74" s="367">
        <v>1</v>
      </c>
      <c r="B74" s="1081" t="s">
        <v>361</v>
      </c>
      <c r="C74" s="316">
        <v>20</v>
      </c>
      <c r="D74" s="964">
        <v>762656170061</v>
      </c>
      <c r="E74" s="1023">
        <v>45759370204</v>
      </c>
    </row>
    <row r="75" spans="1:5" s="1075" customFormat="1" ht="16.5" x14ac:dyDescent="0.25">
      <c r="A75" s="367">
        <v>2</v>
      </c>
      <c r="B75" s="1081" t="s">
        <v>363</v>
      </c>
      <c r="C75" s="316">
        <v>20</v>
      </c>
      <c r="D75" s="964">
        <v>748749131370</v>
      </c>
      <c r="E75" s="1023">
        <v>44924947882</v>
      </c>
    </row>
    <row r="76" spans="1:5" s="609" customFormat="1" ht="16.5" x14ac:dyDescent="0.25">
      <c r="A76" s="367">
        <v>3</v>
      </c>
      <c r="B76" s="1081" t="s">
        <v>364</v>
      </c>
      <c r="C76" s="316">
        <v>20</v>
      </c>
      <c r="D76" s="964">
        <v>845787724600</v>
      </c>
      <c r="E76" s="1023">
        <v>33831508984</v>
      </c>
    </row>
    <row r="77" spans="1:5" ht="66" x14ac:dyDescent="0.25">
      <c r="A77" s="274"/>
      <c r="B77" s="288" t="s">
        <v>214</v>
      </c>
      <c r="C77" s="251" t="s">
        <v>5</v>
      </c>
      <c r="D77" s="965" t="s">
        <v>5</v>
      </c>
      <c r="E77" s="1024">
        <v>1084685963796.7</v>
      </c>
    </row>
  </sheetData>
  <mergeCells count="4">
    <mergeCell ref="B3:B4"/>
    <mergeCell ref="A3:A4"/>
    <mergeCell ref="A1:E1"/>
    <mergeCell ref="A2:E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64"/>
  <sheetViews>
    <sheetView workbookViewId="0"/>
  </sheetViews>
  <sheetFormatPr defaultRowHeight="15" x14ac:dyDescent="0.25"/>
  <cols>
    <col min="1" max="1" width="1" style="414" bestFit="1" customWidth="1"/>
    <col min="2" max="5" width="1" bestFit="1" customWidth="1"/>
  </cols>
  <sheetData>
    <row r="5" spans="1:5" x14ac:dyDescent="0.25">
      <c r="A5" t="str">
        <f>CONCATENATE(671768,",",ROW(II_06H02!A5),"|",COLUMN(II_06H02!A5),",0",",0")</f>
        <v>671768,5|1,0,0</v>
      </c>
      <c r="B5" t="str">
        <f>CONCATENATE(671826,",",ROW(II_06H02!B5),"|",COLUMN(II_06H02!B5),",0",",0")</f>
        <v>671826,5|2,0,0</v>
      </c>
      <c r="C5" t="str">
        <f>CONCATENATE(671860,",",ROW(II_06H02!C5),"|",COLUMN(II_06H02!C5),",0",",0")</f>
        <v>671860,5|3,0,0</v>
      </c>
      <c r="D5" t="str">
        <f>CONCATENATE(671636,",",ROW(II_06H02!D5),"|",COLUMN(II_06H02!D5),",0",",0")</f>
        <v>671636,5|4,0,0</v>
      </c>
      <c r="E5" t="str">
        <f>CONCATENATE(671856,",",ROW(II_06H02!E5),"|",COLUMN(II_06H02!E5),",0",",0")</f>
        <v>671856,5|5,0,0</v>
      </c>
    </row>
    <row r="6" spans="1:5" x14ac:dyDescent="0.25">
      <c r="A6" t="str">
        <f>CONCATENATE(671769,",",ROW(II_06H02!A6),"|",COLUMN(II_06H02!A6),",0",",0")</f>
        <v>671769,6|1,0,0</v>
      </c>
      <c r="B6" t="str">
        <f>CONCATENATE(671811,",",ROW(II_06H02!B6),"|",COLUMN(II_06H02!B6),",0",",0")</f>
        <v>671811,6|2,0,0</v>
      </c>
      <c r="C6" t="str">
        <f>CONCATENATE(671693,",",ROW(II_06H02!C6),"|",COLUMN(II_06H02!C6),",0",",0")</f>
        <v>671693,6|3,0,0</v>
      </c>
      <c r="D6" t="str">
        <f>CONCATENATE(671761,",",ROW(II_06H02!D6),"|",COLUMN(II_06H02!D6),",0",",0")</f>
        <v>671761,6|4,0,0</v>
      </c>
      <c r="E6" t="str">
        <f>CONCATENATE(671713,",",ROW(II_06H02!E6),"|",COLUMN(II_06H02!E6),",0",",0")</f>
        <v>671713,6|5,0,0</v>
      </c>
    </row>
    <row r="7" spans="1:5" x14ac:dyDescent="0.25">
      <c r="A7" t="str">
        <f>CONCATENATE(671770,",",ROW(II_06H02!A7),"|",COLUMN(II_06H02!A7),",0",",0")</f>
        <v>671770,7|1,0,0</v>
      </c>
      <c r="B7" t="str">
        <f>CONCATENATE(671812,",",ROW(II_06H02!B7),"|",COLUMN(II_06H02!B7),",0",",0")</f>
        <v>671812,7|2,0,0</v>
      </c>
      <c r="C7" t="str">
        <f>CONCATENATE(671873,",",ROW(II_06H02!C7),"|",COLUMN(II_06H02!C7),",0",",0")</f>
        <v>671873,7|3,0,0</v>
      </c>
      <c r="D7" t="str">
        <f>CONCATENATE(671762,",",ROW(II_06H02!D7),"|",COLUMN(II_06H02!D7),",0",",0")</f>
        <v>671762,7|4,0,0</v>
      </c>
      <c r="E7" t="str">
        <f>CONCATENATE(671714,",",ROW(II_06H02!E7),"|",COLUMN(II_06H02!E7),",0",",0")</f>
        <v>671714,7|5,0,0</v>
      </c>
    </row>
    <row r="8" spans="1:5" x14ac:dyDescent="0.25">
      <c r="A8" t="str">
        <f>CONCATENATE(671734,",",ROW(II_06H02!A8),"|",COLUMN(II_06H02!A8),",0",",0")</f>
        <v>671734,8|1,0,0</v>
      </c>
      <c r="B8" t="str">
        <f>CONCATENATE(671813,",",ROW(II_06H02!B8),"|",COLUMN(II_06H02!B8),",0",",0")</f>
        <v>671813,8|2,0,0</v>
      </c>
      <c r="C8" t="str">
        <f>CONCATENATE(671699,",",ROW(II_06H02!C8),"|",COLUMN(II_06H02!C8),",0",",0")</f>
        <v>671699,8|3,0,0</v>
      </c>
      <c r="D8" t="str">
        <f>CONCATENATE(671763,",",ROW(II_06H02!D8),"|",COLUMN(II_06H02!D8),",0",",0")</f>
        <v>671763,8|4,0,0</v>
      </c>
      <c r="E8" t="str">
        <f>CONCATENATE(671716,",",ROW(II_06H02!E8),"|",COLUMN(II_06H02!E8),",0",",0")</f>
        <v>671716,8|5,0,0</v>
      </c>
    </row>
    <row r="9" spans="1:5" x14ac:dyDescent="0.25">
      <c r="A9" t="str">
        <f>CONCATENATE(671735,",",ROW(II_06H02!A9),"|",COLUMN(II_06H02!A9),",0",",0")</f>
        <v>671735,9|1,0,0</v>
      </c>
      <c r="B9" t="str">
        <f>CONCATENATE(671827,",",ROW(II_06H02!B9),"|",COLUMN(II_06H02!B9),",0",",0")</f>
        <v>671827,9|2,0,0</v>
      </c>
      <c r="C9" t="str">
        <f>CONCATENATE(671857,",",ROW(II_06H02!C9),"|",COLUMN(II_06H02!C9),",0",",0")</f>
        <v>671857,9|3,0,0</v>
      </c>
      <c r="D9" t="str">
        <f>CONCATENATE(671858,",",ROW(II_06H02!D9),"|",COLUMN(II_06H02!D9),",0",",0")</f>
        <v>671858,9|4,0,0</v>
      </c>
      <c r="E9" t="str">
        <f>CONCATENATE(671859,",",ROW(II_06H02!E9),"|",COLUMN(II_06H02!E9),",0",",0")</f>
        <v>671859,9|5,0,0</v>
      </c>
    </row>
    <row r="10" spans="1:5" x14ac:dyDescent="0.25">
      <c r="A10" t="str">
        <f>CONCATENATE(671800,",",ROW(II_06H02!A10),"|",COLUMN(II_06H02!A10),",0",",0")</f>
        <v>671800,10|1,0,0</v>
      </c>
      <c r="B10" t="str">
        <f>CONCATENATE(671799,",",ROW(II_06H02!B10),"|",COLUMN(II_06H02!B10),",0",",0")</f>
        <v>671799,10|2,0,0</v>
      </c>
      <c r="C10" t="str">
        <f>CONCATENATE(671715,",",ROW(II_06H02!C10),"|",COLUMN(II_06H02!C10),",0",",0")</f>
        <v>671715,10|3,0,0</v>
      </c>
      <c r="D10" t="str">
        <f>CONCATENATE(671764,",",ROW(II_06H02!D10),"|",COLUMN(II_06H02!D10),",0",",0")</f>
        <v>671764,10|4,0,0</v>
      </c>
      <c r="E10" t="str">
        <f>CONCATENATE(671865,",",ROW(II_06H02!E10),"|",COLUMN(II_06H02!E10),",0",",0")</f>
        <v>671865,10|5,0,0</v>
      </c>
    </row>
    <row r="11" spans="1:5" x14ac:dyDescent="0.25">
      <c r="A11" t="str">
        <f>CONCATENATE(671802,",",ROW(II_06H02!A11),"|",COLUMN(II_06H02!A11),",0",",0")</f>
        <v>671802,11|1,0,0</v>
      </c>
      <c r="B11" t="str">
        <f>CONCATENATE(671828,",",ROW(II_06H02!B11),"|",COLUMN(II_06H02!B11),",0",",0")</f>
        <v>671828,11|2,0,0</v>
      </c>
      <c r="C11" t="str">
        <f>CONCATENATE(671717,",",ROW(II_06H02!C11),"|",COLUMN(II_06H02!C11),",0",",0")</f>
        <v>671717,11|3,0,0</v>
      </c>
      <c r="D11" t="str">
        <f>CONCATENATE(671832,",",ROW(II_06H02!D11),"|",COLUMN(II_06H02!D11),",0",",0")</f>
        <v>671832,11|4,0,0</v>
      </c>
      <c r="E11" t="str">
        <f>CONCATENATE(671710,",",ROW(II_06H02!E11),"|",COLUMN(II_06H02!E11),",0",",0")</f>
        <v>671710,11|5,0,0</v>
      </c>
    </row>
    <row r="12" spans="1:5" x14ac:dyDescent="0.25">
      <c r="A12" t="str">
        <f>CONCATENATE(671787,",",ROW(II_06H02!A12),"|",COLUMN(II_06H02!A12),",0",",0")</f>
        <v>671787,12|1,0,0</v>
      </c>
      <c r="B12" t="str">
        <f>CONCATENATE(671881,",",ROW(II_06H02!B12),"|",COLUMN(II_06H02!B12),",0",",0")</f>
        <v>671881,12|2,0,0</v>
      </c>
      <c r="C12" t="str">
        <f>CONCATENATE(671618,",",ROW(II_06H02!C12),"|",COLUMN(II_06H02!C12),",0",",0")</f>
        <v>671618,12|3,0,0</v>
      </c>
      <c r="D12" t="str">
        <f>CONCATENATE(671783,",",ROW(II_06H02!D12),"|",COLUMN(II_06H02!D12),",0",",0")</f>
        <v>671783,12|4,0,0</v>
      </c>
      <c r="E12" t="str">
        <f>CONCATENATE(671907,",",ROW(II_06H02!E12),"|",COLUMN(II_06H02!E12),",0",",0")</f>
        <v>671907,12|5,0,0</v>
      </c>
    </row>
    <row r="13" spans="1:5" x14ac:dyDescent="0.25">
      <c r="A13" t="str">
        <f>CONCATENATE(671882,",",ROW(II_06H02!A13),"|",COLUMN(II_06H02!A13),",0",",0")</f>
        <v>671882,13|1,0,0</v>
      </c>
      <c r="B13" t="str">
        <f>CONCATENATE(671910,",",ROW(II_06H02!B13),"|",COLUMN(II_06H02!B13),",0",",0")</f>
        <v>671910,13|2,0,0</v>
      </c>
      <c r="C13" t="str">
        <f>CONCATENATE(671718,",",ROW(II_06H02!C13),"|",COLUMN(II_06H02!C13),",0",",0")</f>
        <v>671718,13|3,0,0</v>
      </c>
      <c r="D13" t="str">
        <f>CONCATENATE(671779,",",ROW(II_06H02!D13),"|",COLUMN(II_06H02!D13),",0",",0")</f>
        <v>671779,13|4,0,0</v>
      </c>
      <c r="E13" t="str">
        <f>CONCATENATE(671890,",",ROW(II_06H02!E13),"|",COLUMN(II_06H02!E13),",0",",0")</f>
        <v>671890,13|5,0,0</v>
      </c>
    </row>
    <row r="14" spans="1:5" x14ac:dyDescent="0.25">
      <c r="A14" t="str">
        <f>CONCATENATE(671854,",",ROW(II_06H02!A14),"|",COLUMN(II_06H02!A14),",0",",0")</f>
        <v>671854,14|1,0,0</v>
      </c>
      <c r="B14" t="str">
        <f>CONCATENATE(671647,",",ROW(II_06H02!B14),"|",COLUMN(II_06H02!B14),",0",",0")</f>
        <v>671647,14|2,0,0</v>
      </c>
      <c r="C14" t="str">
        <f>CONCATENATE(671897,",",ROW(II_06H02!C14),"|",COLUMN(II_06H02!C14),",0",",0")</f>
        <v>671897,14|3,0,0</v>
      </c>
      <c r="D14" t="str">
        <f>CONCATENATE(671780,",",ROW(II_06H02!D14),"|",COLUMN(II_06H02!D14),",0",",0")</f>
        <v>671780,14|4,0,0</v>
      </c>
      <c r="E14" t="str">
        <f>CONCATENATE(671891,",",ROW(II_06H02!E14),"|",COLUMN(II_06H02!E14),",0",",0")</f>
        <v>671891,14|5,0,0</v>
      </c>
    </row>
    <row r="15" spans="1:5" x14ac:dyDescent="0.25">
      <c r="A15" t="str">
        <f>CONCATENATE(671646,",",ROW(II_06H02!A15),"|",COLUMN(II_06H02!A15),",0",",0")</f>
        <v>671646,15|1,0,0</v>
      </c>
      <c r="B15" t="str">
        <f>CONCATENATE(671868,",",ROW(II_06H02!B15),"|",COLUMN(II_06H02!B15),",0",",0")</f>
        <v>671868,15|2,0,0</v>
      </c>
      <c r="C15" t="str">
        <f>CONCATENATE(671898,",",ROW(II_06H02!C15),"|",COLUMN(II_06H02!C15),",0",",0")</f>
        <v>671898,15|3,0,0</v>
      </c>
      <c r="D15" t="str">
        <f>CONCATENATE(671781,",",ROW(II_06H02!D15),"|",COLUMN(II_06H02!D15),",0",",0")</f>
        <v>671781,15|4,0,0</v>
      </c>
      <c r="E15" t="str">
        <f>CONCATENATE(671905,",",ROW(II_06H02!E15),"|",COLUMN(II_06H02!E15),",0",",0")</f>
        <v>671905,15|5,0,0</v>
      </c>
    </row>
    <row r="16" spans="1:5" x14ac:dyDescent="0.25">
      <c r="A16" t="str">
        <f>CONCATENATE(671855,",",ROW(II_06H02!A16),"|",COLUMN(II_06H02!A16),",0",",0")</f>
        <v>671855,16|1,0,0</v>
      </c>
      <c r="B16" t="str">
        <f>CONCATENATE(671869,",",ROW(II_06H02!B16),"|",COLUMN(II_06H02!B16),",0",",0")</f>
        <v>671869,16|2,0,0</v>
      </c>
      <c r="C16" t="str">
        <f>CONCATENATE(671775,",",ROW(II_06H02!C16),"|",COLUMN(II_06H02!C16),",0",",0")</f>
        <v>671775,16|3,0,0</v>
      </c>
      <c r="D16" t="str">
        <f>CONCATENATE(671782,",",ROW(II_06H02!D16),"|",COLUMN(II_06H02!D16),",0",",0")</f>
        <v>671782,16|4,0,0</v>
      </c>
      <c r="E16" t="str">
        <f>CONCATENATE(671906,",",ROW(II_06H02!E16),"|",COLUMN(II_06H02!E16),",0",",0")</f>
        <v>671906,16|5,0,0</v>
      </c>
    </row>
    <row r="17" spans="1:5" x14ac:dyDescent="0.25">
      <c r="A17" t="str">
        <f>CONCATENATE(671803,",",ROW(II_06H02!A17),"|",COLUMN(II_06H02!A17),",0",",0")</f>
        <v>671803,17|1,0,0</v>
      </c>
      <c r="B17" t="str">
        <f>CONCATENATE(671669,",",ROW(II_06H02!B17),"|",COLUMN(II_06H02!B17),",0",",0")</f>
        <v>671669,17|2,0,0</v>
      </c>
      <c r="C17" t="str">
        <f>CONCATENATE(671861,",",ROW(II_06H02!C17),"|",COLUMN(II_06H02!C17),",0",",0")</f>
        <v>671861,17|3,0,0</v>
      </c>
      <c r="D17" t="str">
        <f>CONCATENATE(671833,",",ROW(II_06H02!D17),"|",COLUMN(II_06H02!D17),",0",",0")</f>
        <v>671833,17|4,0,0</v>
      </c>
      <c r="E17" t="str">
        <f>CONCATENATE(671766,",",ROW(II_06H02!E17),"|",COLUMN(II_06H02!E17),",0",",0")</f>
        <v>671766,17|5,0,0</v>
      </c>
    </row>
    <row r="18" spans="1:5" x14ac:dyDescent="0.25">
      <c r="A18" t="str">
        <f>CONCATENATE(671648,",",ROW(II_06H02!A18),"|",COLUMN(II_06H02!A18),",0",",0")</f>
        <v>671648,18|1,0,0</v>
      </c>
      <c r="B18" t="str">
        <f>CONCATENATE(671844,",",ROW(II_06H02!B18),"|",COLUMN(II_06H02!B18),",0",",0")</f>
        <v>671844,18|2,0,0</v>
      </c>
      <c r="C18" t="str">
        <f>CONCATENATE(671862,",",ROW(II_06H02!C18),"|",COLUMN(II_06H02!C18),",0",",0")</f>
        <v>671862,18|3,0,0</v>
      </c>
      <c r="D18" t="str">
        <f>CONCATENATE(671785,",",ROW(II_06H02!D18),"|",COLUMN(II_06H02!D18),",0",",0")</f>
        <v>671785,18|4,0,0</v>
      </c>
      <c r="E18" t="str">
        <f>CONCATENATE(671908,",",ROW(II_06H02!E18),"|",COLUMN(II_06H02!E18),",0",",0")</f>
        <v>671908,18|5,0,0</v>
      </c>
    </row>
    <row r="19" spans="1:5" x14ac:dyDescent="0.25">
      <c r="A19" t="str">
        <f>CONCATENATE(671804,",",ROW(II_06H02!A19),"|",COLUMN(II_06H02!A19),",0",",0")</f>
        <v>671804,19|1,0,0</v>
      </c>
      <c r="B19" t="str">
        <f>CONCATENATE(671670,",",ROW(II_06H02!B19),"|",COLUMN(II_06H02!B19),",0",",0")</f>
        <v>671670,19|2,0,0</v>
      </c>
      <c r="C19" t="str">
        <f>CONCATENATE(671899,",",ROW(II_06H02!C19),"|",COLUMN(II_06H02!C19),",0",",0")</f>
        <v>671899,19|3,0,0</v>
      </c>
      <c r="D19" t="str">
        <f>CONCATENATE(671834,",",ROW(II_06H02!D19),"|",COLUMN(II_06H02!D19),",0",",0")</f>
        <v>671834,19|4,0,0</v>
      </c>
      <c r="E19" t="str">
        <f>CONCATENATE(671878,",",ROW(II_06H02!E19),"|",COLUMN(II_06H02!E19),",0",",0")</f>
        <v>671878,19|5,0,0</v>
      </c>
    </row>
    <row r="20" spans="1:5" x14ac:dyDescent="0.25">
      <c r="A20" t="str">
        <f>CONCATENATE(671805,",",ROW(II_06H02!A20),"|",COLUMN(II_06H02!A20),",0",",0")</f>
        <v>671805,20|1,0,0</v>
      </c>
      <c r="B20" t="str">
        <f>CONCATENATE(671797,",",ROW(II_06H02!B20),"|",COLUMN(II_06H02!B20),",0",",0")</f>
        <v>671797,20|2,0,0</v>
      </c>
      <c r="C20" t="str">
        <f>CONCATENATE(671874,",",ROW(II_06H02!C20),"|",COLUMN(II_06H02!C20),",0",",0")</f>
        <v>671874,20|3,0,0</v>
      </c>
      <c r="D20" t="str">
        <f>CONCATENATE(671835,",",ROW(II_06H02!D20),"|",COLUMN(II_06H02!D20),",0",",0")</f>
        <v>671835,20|4,0,0</v>
      </c>
      <c r="E20" t="str">
        <f>CONCATENATE(671880,",",ROW(II_06H02!E20),"|",COLUMN(II_06H02!E20),",0",",0")</f>
        <v>671880,20|5,0,0</v>
      </c>
    </row>
    <row r="21" spans="1:5" x14ac:dyDescent="0.25">
      <c r="A21" t="str">
        <f>CONCATENATE(671806,",",ROW(II_06H02!A21),"|",COLUMN(II_06H02!A21),",0",",0")</f>
        <v>671806,21|1,0,0</v>
      </c>
      <c r="B21" t="str">
        <f>CONCATENATE(671831,",",ROW(II_06H02!B21),"|",COLUMN(II_06H02!B21),",0",",0")</f>
        <v>671831,21|2,0,0</v>
      </c>
      <c r="C21" t="str">
        <f>CONCATENATE(671875,",",ROW(II_06H02!C21),"|",COLUMN(II_06H02!C21),",0",",0")</f>
        <v>671875,21|3,0,0</v>
      </c>
      <c r="D21" t="str">
        <f>CONCATENATE(671836,",",ROW(II_06H02!D21),"|",COLUMN(II_06H02!D21),",0",",0")</f>
        <v>671836,21|4,0,0</v>
      </c>
      <c r="E21" t="str">
        <f>CONCATENATE(671883,",",ROW(II_06H02!E21),"|",COLUMN(II_06H02!E21),",0",",0")</f>
        <v>671883,21|5,0,0</v>
      </c>
    </row>
    <row r="22" spans="1:5" x14ac:dyDescent="0.25">
      <c r="A22" t="str">
        <f>CONCATENATE(671807,",",ROW(II_06H02!A22),"|",COLUMN(II_06H02!A22),",0",",0")</f>
        <v>671807,22|1,0,0</v>
      </c>
      <c r="B22" t="str">
        <f>CONCATENATE(671788,",",ROW(II_06H02!B22),"|",COLUMN(II_06H02!B22),",0",",0")</f>
        <v>671788,22|2,0,0</v>
      </c>
      <c r="C22" t="str">
        <f>CONCATENATE(671719,",",ROW(II_06H02!C22),"|",COLUMN(II_06H02!C22),",0",",0")</f>
        <v>671719,22|3,0,0</v>
      </c>
      <c r="D22" t="str">
        <f>CONCATENATE(671837,",",ROW(II_06H02!D22),"|",COLUMN(II_06H02!D22),",0",",0")</f>
        <v>671837,22|4,0,0</v>
      </c>
      <c r="E22" t="str">
        <f>CONCATENATE(671884,",",ROW(II_06H02!E22),"|",COLUMN(II_06H02!E22),",0",",0")</f>
        <v>671884,22|5,0,0</v>
      </c>
    </row>
    <row r="23" spans="1:5" x14ac:dyDescent="0.25">
      <c r="A23" t="str">
        <f>CONCATENATE(671845,",",ROW(II_06H02!A23),"|",COLUMN(II_06H02!A23),",0",",0")</f>
        <v>671845,23|1,0,0</v>
      </c>
      <c r="B23" t="str">
        <f>CONCATENATE(671846,",",ROW(II_06H02!B23),"|",COLUMN(II_06H02!B23),",0",",0")</f>
        <v>671846,23|2,0,0</v>
      </c>
      <c r="C23" t="str">
        <f>CONCATENATE(671628,",",ROW(II_06H02!C23),"|",COLUMN(II_06H02!C23),",0",",0")</f>
        <v>671628,23|3,0,0</v>
      </c>
      <c r="D23" t="str">
        <f>CONCATENATE(671894,",",ROW(II_06H02!D23),"|",COLUMN(II_06H02!D23),",0",",0")</f>
        <v>671894,23|4,0,0</v>
      </c>
      <c r="E23" t="str">
        <f>CONCATENATE(671889,",",ROW(II_06H02!E23),"|",COLUMN(II_06H02!E23),",0",",0")</f>
        <v>671889,23|5,0,0</v>
      </c>
    </row>
    <row r="24" spans="1:5" x14ac:dyDescent="0.25">
      <c r="A24" t="str">
        <f>CONCATENATE(671808,",",ROW(II_06H02!A24),"|",COLUMN(II_06H02!A24),",0",",0")</f>
        <v>671808,24|1,0,0</v>
      </c>
      <c r="B24" t="str">
        <f>CONCATENATE(671674,",",ROW(II_06H02!B24),"|",COLUMN(II_06H02!B24),",0",",0")</f>
        <v>671674,24|2,0,0</v>
      </c>
      <c r="C24" t="str">
        <f>CONCATENATE(671876,",",ROW(II_06H02!C24),"|",COLUMN(II_06H02!C24),",0",",0")</f>
        <v>671876,24|3,0,0</v>
      </c>
      <c r="D24" t="str">
        <f>CONCATENATE(671838,",",ROW(II_06H02!D24),"|",COLUMN(II_06H02!D24),",0",",0")</f>
        <v>671838,24|4,0,0</v>
      </c>
      <c r="E24" t="str">
        <f>CONCATENATE(671885,",",ROW(II_06H02!E24),"|",COLUMN(II_06H02!E24),",0",",0")</f>
        <v>671885,24|5,0,0</v>
      </c>
    </row>
    <row r="25" spans="1:5" x14ac:dyDescent="0.25">
      <c r="A25" t="str">
        <f>CONCATENATE(671809,",",ROW(II_06H02!A25),"|",COLUMN(II_06H02!A25),",0",",0")</f>
        <v>671809,25|1,0,0</v>
      </c>
      <c r="B25" t="str">
        <f>CONCATENATE(671661,",",ROW(II_06H02!B25),"|",COLUMN(II_06H02!B25),",0",",0")</f>
        <v>671661,25|2,0,0</v>
      </c>
      <c r="C25" t="str">
        <f>CONCATENATE(671726,",",ROW(II_06H02!C25),"|",COLUMN(II_06H02!C25),",0",",0")</f>
        <v>671726,25|3,0,0</v>
      </c>
      <c r="D25" t="str">
        <f>CONCATENATE(671755,",",ROW(II_06H02!D25),"|",COLUMN(II_06H02!D25),",0",",0")</f>
        <v>671755,25|4,0,0</v>
      </c>
      <c r="E25" t="str">
        <f>CONCATENATE(671709,",",ROW(II_06H02!E25),"|",COLUMN(II_06H02!E25),",0",",0")</f>
        <v>671709,25|5,0,0</v>
      </c>
    </row>
    <row r="26" spans="1:5" x14ac:dyDescent="0.25">
      <c r="A26" t="str">
        <f>CONCATENATE(671810,",",ROW(II_06H02!A26),"|",COLUMN(II_06H02!A26),",0",",0")</f>
        <v>671810,26|1,0,0</v>
      </c>
      <c r="B26" t="str">
        <f>CONCATENATE(671767,",",ROW(II_06H02!B26),"|",COLUMN(II_06H02!B26),",0",",0")</f>
        <v>671767,26|2,0,0</v>
      </c>
      <c r="C26" t="str">
        <f>CONCATENATE(671727,",",ROW(II_06H02!C26),"|",COLUMN(II_06H02!C26),",0",",0")</f>
        <v>671727,26|3,0,0</v>
      </c>
      <c r="D26" t="str">
        <f>CONCATENATE(671756,",",ROW(II_06H02!D26),"|",COLUMN(II_06H02!D26),",0",",0")</f>
        <v>671756,26|4,0,0</v>
      </c>
      <c r="E26" t="str">
        <f>CONCATENATE(671879,",",ROW(II_06H02!E26),"|",COLUMN(II_06H02!E26),",0",",0")</f>
        <v>671879,26|5,0,0</v>
      </c>
    </row>
    <row r="27" spans="1:5" x14ac:dyDescent="0.25">
      <c r="A27" t="str">
        <f>CONCATENATE(671662,",",ROW(II_06H02!A27),"|",COLUMN(II_06H02!A27),",0",",0")</f>
        <v>671662,27|1,0,0</v>
      </c>
      <c r="B27" t="str">
        <f>CONCATENATE(671824,",",ROW(II_06H02!B27),"|",COLUMN(II_06H02!B27),",0",",0")</f>
        <v>671824,27|2,0,0</v>
      </c>
      <c r="C27" t="str">
        <f>CONCATENATE(671728,",",ROW(II_06H02!C27),"|",COLUMN(II_06H02!C27),",0",",0")</f>
        <v>671728,27|3,0,0</v>
      </c>
      <c r="D27" t="str">
        <f>CONCATENATE(671757,",",ROW(II_06H02!D27),"|",COLUMN(II_06H02!D27),",0",",0")</f>
        <v>671757,27|4,0,0</v>
      </c>
      <c r="E27" t="str">
        <f>CONCATENATE(671886,",",ROW(II_06H02!E27),"|",COLUMN(II_06H02!E27),",0",",0")</f>
        <v>671886,27|5,0,0</v>
      </c>
    </row>
    <row r="28" spans="1:5" x14ac:dyDescent="0.25">
      <c r="A28" t="str">
        <f>CONCATENATE(671771,",",ROW(II_06H02!A28),"|",COLUMN(II_06H02!A28),",0",",0")</f>
        <v>671771,28|1,0,0</v>
      </c>
      <c r="B28" t="str">
        <f>CONCATENATE(671847,",",ROW(II_06H02!B28),"|",COLUMN(II_06H02!B28),",0",",0")</f>
        <v>671847,28|2,0,0</v>
      </c>
      <c r="C28" t="str">
        <f>CONCATENATE(671789,",",ROW(II_06H02!C28),"|",COLUMN(II_06H02!C28),",0",",0")</f>
        <v>671789,28|3,0,0</v>
      </c>
      <c r="D28" t="str">
        <f>CONCATENATE(671901,",",ROW(II_06H02!D28),"|",COLUMN(II_06H02!D28),",0",",0")</f>
        <v>671901,28|4,0,0</v>
      </c>
      <c r="E28" t="str">
        <f>CONCATENATE(671616,",",ROW(II_06H02!E28),"|",COLUMN(II_06H02!E28),",0",",0")</f>
        <v>671616,28|5,0,0</v>
      </c>
    </row>
    <row r="29" spans="1:5" x14ac:dyDescent="0.25">
      <c r="A29" t="str">
        <f>CONCATENATE(671843,",",ROW(II_06H02!A29),"|",COLUMN(II_06H02!A29),",0",",0")</f>
        <v>671843,29|1,0,0</v>
      </c>
      <c r="B29" t="str">
        <f>CONCATENATE(671892,",",ROW(II_06H02!B29),"|",COLUMN(II_06H02!B29),",0",",0")</f>
        <v>671892,29|2,0,0</v>
      </c>
      <c r="C29" t="str">
        <f>CONCATENATE(671790,",",ROW(II_06H02!C29),"|",COLUMN(II_06H02!C29),",0",",0")</f>
        <v>671790,29|3,0,0</v>
      </c>
      <c r="D29" t="str">
        <f>CONCATENATE(671902,",",ROW(II_06H02!D29),"|",COLUMN(II_06H02!D29),",0",",0")</f>
        <v>671902,29|4,0,0</v>
      </c>
      <c r="E29" t="str">
        <f>CONCATENATE(671617,",",ROW(II_06H02!E29),"|",COLUMN(II_06H02!E29),",0",",0")</f>
        <v>671617,29|5,0,0</v>
      </c>
    </row>
    <row r="30" spans="1:5" x14ac:dyDescent="0.25">
      <c r="A30" t="str">
        <f>CONCATENATE(671870,",",ROW(II_06H02!A30),"|",COLUMN(II_06H02!A30),",0",",0")</f>
        <v>671870,30|1,0,0</v>
      </c>
      <c r="B30" t="str">
        <f>CONCATENATE(671848,",",ROW(II_06H02!B30),"|",COLUMN(II_06H02!B30),",0",",0")</f>
        <v>671848,30|2,0,0</v>
      </c>
      <c r="C30" t="str">
        <f>CONCATENATE(671791,",",ROW(II_06H02!C30),"|",COLUMN(II_06H02!C30),",0",",0")</f>
        <v>671791,30|3,0,0</v>
      </c>
      <c r="D30" t="str">
        <f>CONCATENATE(671903,",",ROW(II_06H02!D30),"|",COLUMN(II_06H02!D30),",0",",0")</f>
        <v>671903,30|4,0,0</v>
      </c>
      <c r="E30" t="str">
        <f>CONCATENATE(671608,",",ROW(II_06H02!E30),"|",COLUMN(II_06H02!E30),",0",",0")</f>
        <v>671608,30|5,0,0</v>
      </c>
    </row>
    <row r="31" spans="1:5" x14ac:dyDescent="0.25">
      <c r="A31" t="str">
        <f>CONCATENATE(671871,",",ROW(II_06H02!A31),"|",COLUMN(II_06H02!A31),",0",",0")</f>
        <v>671871,31|1,0,0</v>
      </c>
      <c r="B31" t="str">
        <f>CONCATENATE(671849,",",ROW(II_06H02!B31),"|",COLUMN(II_06H02!B31),",0",",0")</f>
        <v>671849,31|2,0,0</v>
      </c>
      <c r="C31" t="str">
        <f>CONCATENATE(671778,",",ROW(II_06H02!C31),"|",COLUMN(II_06H02!C31),",0",",0")</f>
        <v>671778,31|3,0,0</v>
      </c>
      <c r="D31" t="str">
        <f>CONCATENATE(671900,",",ROW(II_06H02!D31),"|",COLUMN(II_06H02!D31),",0",",0")</f>
        <v>671900,31|4,0,0</v>
      </c>
      <c r="E31" t="str">
        <f>CONCATENATE(671909,",",ROW(II_06H02!E31),"|",COLUMN(II_06H02!E31),",0",",0")</f>
        <v>671909,31|5,0,0</v>
      </c>
    </row>
    <row r="32" spans="1:5" x14ac:dyDescent="0.25">
      <c r="A32" t="str">
        <f>CONCATENATE(671663,",",ROW(II_06H02!A32),"|",COLUMN(II_06H02!A32),",1",",0")</f>
        <v>671663,32|1,1,0</v>
      </c>
      <c r="B32" t="str">
        <f>CONCATENATE(671675,",",ROW(II_06H02!B32),"|",COLUMN(II_06H02!B32),",1",",0")</f>
        <v>671675,32|2,1,0</v>
      </c>
      <c r="C32" t="str">
        <f>CONCATENATE(671629,",",ROW(II_06H02!C32),"|",COLUMN(II_06H02!C32),",1",",0")</f>
        <v>671629,32|3,1,0</v>
      </c>
      <c r="D32" t="str">
        <f>CONCATENATE(671839,",",ROW(II_06H02!D32),"|",COLUMN(II_06H02!D32),",1",",0")</f>
        <v>671839,32|4,1,0</v>
      </c>
      <c r="E32" t="str">
        <f>CONCATENATE(671866,",",ROW(II_06H02!E32),"|",COLUMN(II_06H02!E32),",1",",0")</f>
        <v>671866,32|5,1,0</v>
      </c>
    </row>
    <row r="33" spans="1:5" x14ac:dyDescent="0.25">
      <c r="A33" t="str">
        <f>CONCATENATE(671664,",",ROW(II_06H02!A43),"|",COLUMN(II_06H02!A43),",0",",0")</f>
        <v>671664,43|1,0,0</v>
      </c>
      <c r="B33" t="str">
        <f>CONCATENATE(671676,",",ROW(II_06H02!B43),"|",COLUMN(II_06H02!B43),",0",",0")</f>
        <v>671676,43|2,0,0</v>
      </c>
      <c r="C33" t="str">
        <f>CONCATENATE(671729,",",ROW(II_06H02!C43),"|",COLUMN(II_06H02!C43),",0",",0")</f>
        <v>671729,43|3,0,0</v>
      </c>
      <c r="D33" t="str">
        <f>CONCATENATE(671840,",",ROW(II_06H02!D43),"|",COLUMN(II_06H02!D43),",0",",0")</f>
        <v>671840,43|4,0,0</v>
      </c>
      <c r="E33" t="str">
        <f>CONCATENATE(671887,",",ROW(II_06H02!E43),"|",COLUMN(II_06H02!E43),",0",",0")</f>
        <v>671887,43|5,0,0</v>
      </c>
    </row>
    <row r="34" spans="1:5" x14ac:dyDescent="0.25">
      <c r="A34" t="str">
        <f>CONCATENATE(671665,",",ROW(II_06H02!A44),"|",COLUMN(II_06H02!A44),",0",",0")</f>
        <v>671665,44|1,0,0</v>
      </c>
      <c r="B34" t="str">
        <f>CONCATENATE(671825,",",ROW(II_06H02!B44),"|",COLUMN(II_06H02!B44),",0",",0")</f>
        <v>671825,44|2,0,0</v>
      </c>
      <c r="C34" t="str">
        <f>CONCATENATE(671784,",",ROW(II_06H02!C44),"|",COLUMN(II_06H02!C44),",0",",0")</f>
        <v>671784,44|3,0,0</v>
      </c>
      <c r="D34" t="str">
        <f>CONCATENATE(671758,",",ROW(II_06H02!D44),"|",COLUMN(II_06H02!D44),",0",",0")</f>
        <v>671758,44|4,0,0</v>
      </c>
      <c r="E34" t="str">
        <f>CONCATENATE(671863,",",ROW(II_06H02!E44),"|",COLUMN(II_06H02!E44),",0",",0")</f>
        <v>671863,44|5,0,0</v>
      </c>
    </row>
    <row r="35" spans="1:5" x14ac:dyDescent="0.25">
      <c r="A35" t="str">
        <f>CONCATENATE(671666,",",ROW(II_06H02!A45),"|",COLUMN(II_06H02!A45),",0",",0")</f>
        <v>671666,45|1,0,0</v>
      </c>
      <c r="B35" t="str">
        <f>CONCATENATE(671677,",",ROW(II_06H02!B45),"|",COLUMN(II_06H02!B45),",0",",0")</f>
        <v>671677,45|2,0,0</v>
      </c>
      <c r="C35" t="str">
        <f>CONCATENATE(671786,",",ROW(II_06H02!C45),"|",COLUMN(II_06H02!C45),",0",",0")</f>
        <v>671786,45|3,0,0</v>
      </c>
      <c r="D35" t="str">
        <f>CONCATENATE(671841,",",ROW(II_06H02!D45),"|",COLUMN(II_06H02!D45),",0",",0")</f>
        <v>671841,45|4,0,0</v>
      </c>
      <c r="E35" t="str">
        <f>CONCATENATE(671888,",",ROW(II_06H02!E45),"|",COLUMN(II_06H02!E45),",0",",0")</f>
        <v>671888,45|5,0,0</v>
      </c>
    </row>
    <row r="36" spans="1:5" x14ac:dyDescent="0.25">
      <c r="A36" t="str">
        <f>CONCATENATE(671667,",",ROW(II_06H02!A46),"|",COLUMN(II_06H02!A46),",0",",0")</f>
        <v>671667,46|1,0,0</v>
      </c>
      <c r="B36" t="str">
        <f>CONCATENATE(671867,",",ROW(II_06H02!B46),"|",COLUMN(II_06H02!B46),",0",",0")</f>
        <v>671867,46|2,0,0</v>
      </c>
      <c r="C36" t="str">
        <f>CONCATENATE(671877,",",ROW(II_06H02!C46),"|",COLUMN(II_06H02!C46),",0",",0")</f>
        <v>671877,46|3,0,0</v>
      </c>
      <c r="D36" t="str">
        <f>CONCATENATE(671842,",",ROW(II_06H02!D46),"|",COLUMN(II_06H02!D46),",0",",0")</f>
        <v>671842,46|4,0,0</v>
      </c>
      <c r="E36" t="str">
        <f>CONCATENATE(671723,",",ROW(II_06H02!E46),"|",COLUMN(II_06H02!E46),",0",",0")</f>
        <v>671723,46|5,0,0</v>
      </c>
    </row>
    <row r="37" spans="1:5" x14ac:dyDescent="0.25">
      <c r="A37" t="str">
        <f>CONCATENATE(671660,",",ROW(II_06H02!A47),"|",COLUMN(II_06H02!A47),",0",",0")</f>
        <v>671660,47|1,0,0</v>
      </c>
      <c r="B37" t="str">
        <f>CONCATENATE(671792,",",ROW(II_06H02!B47),"|",COLUMN(II_06H02!B47),",0",",0")</f>
        <v>671792,47|2,0,0</v>
      </c>
      <c r="C37" t="str">
        <f>CONCATENATE(671730,",",ROW(II_06H02!C47),"|",COLUMN(II_06H02!C47),",0",",0")</f>
        <v>671730,47|3,0,0</v>
      </c>
      <c r="D37" t="str">
        <f>CONCATENATE(671736,",",ROW(II_06H02!D47),"|",COLUMN(II_06H02!D47),",0",",0")</f>
        <v>671736,47|4,0,0</v>
      </c>
      <c r="E37" t="str">
        <f>CONCATENATE(671725,",",ROW(II_06H02!E47),"|",COLUMN(II_06H02!E47),",0",",0")</f>
        <v>671725,47|5,0,0</v>
      </c>
    </row>
    <row r="38" spans="1:5" x14ac:dyDescent="0.25">
      <c r="A38" t="str">
        <f>CONCATENATE(671814,",",ROW(II_06H02!A48),"|",COLUMN(II_06H02!A48),",0",",0")</f>
        <v>671814,48|1,0,0</v>
      </c>
      <c r="B38" t="str">
        <f>CONCATENATE(671801,",",ROW(II_06H02!B48),"|",COLUMN(II_06H02!B48),",0",",0")</f>
        <v>671801,48|2,0,0</v>
      </c>
      <c r="C38" t="str">
        <f>CONCATENATE(671619,",",ROW(II_06H02!C48),"|",COLUMN(II_06H02!C48),",0",",0")</f>
        <v>671619,48|3,0,0</v>
      </c>
      <c r="D38" t="str">
        <f>CONCATENATE(671759,",",ROW(II_06H02!D48),"|",COLUMN(II_06H02!D48),",0",",0")</f>
        <v>671759,48|4,0,0</v>
      </c>
      <c r="E38" t="str">
        <f>CONCATENATE(671720,",",ROW(II_06H02!E48),"|",COLUMN(II_06H02!E48),",0",",0")</f>
        <v>671720,48|5,0,0</v>
      </c>
    </row>
    <row r="39" spans="1:5" x14ac:dyDescent="0.25">
      <c r="A39" t="str">
        <f>CONCATENATE(671815,",",ROW(II_06H02!A49),"|",COLUMN(II_06H02!A49),",0",",0")</f>
        <v>671815,49|1,0,0</v>
      </c>
      <c r="B39" t="str">
        <f>CONCATENATE(671678,",",ROW(II_06H02!B49),"|",COLUMN(II_06H02!B49),",0",",0")</f>
        <v>671678,49|2,0,0</v>
      </c>
      <c r="C39" t="str">
        <f>CONCATENATE(671694,",",ROW(II_06H02!C49),"|",COLUMN(II_06H02!C49),",0",",0")</f>
        <v>671694,49|3,0,0</v>
      </c>
      <c r="D39" t="str">
        <f>CONCATENATE(671737,",",ROW(II_06H02!D49),"|",COLUMN(II_06H02!D49),",0",",0")</f>
        <v>671737,49|4,0,0</v>
      </c>
      <c r="E39" t="str">
        <f>CONCATENATE(671721,",",ROW(II_06H02!E49),"|",COLUMN(II_06H02!E49),",0",",0")</f>
        <v>671721,49|5,0,0</v>
      </c>
    </row>
    <row r="40" spans="1:5" x14ac:dyDescent="0.25">
      <c r="A40" t="str">
        <f>CONCATENATE(671816,",",ROW(II_06H02!A50),"|",COLUMN(II_06H02!A50),",0",",0")</f>
        <v>671816,50|1,0,0</v>
      </c>
      <c r="B40" t="str">
        <f>CONCATENATE(671829,",",ROW(II_06H02!B50),"|",COLUMN(II_06H02!B50),",0",",0")</f>
        <v>671829,50|2,0,0</v>
      </c>
      <c r="C40" t="str">
        <f>CONCATENATE(671695,",",ROW(II_06H02!C50),"|",COLUMN(II_06H02!C50),",0",",0")</f>
        <v>671695,50|3,0,0</v>
      </c>
      <c r="D40" t="str">
        <f>CONCATENATE(671738,",",ROW(II_06H02!D50),"|",COLUMN(II_06H02!D50),",0",",0")</f>
        <v>671738,50|4,0,0</v>
      </c>
      <c r="E40" t="str">
        <f>CONCATENATE(671711,",",ROW(II_06H02!E50),"|",COLUMN(II_06H02!E50),",0",",0")</f>
        <v>671711,50|5,0,0</v>
      </c>
    </row>
    <row r="41" spans="1:5" x14ac:dyDescent="0.25">
      <c r="A41" t="str">
        <f>CONCATENATE(671650,",",ROW(II_06H02!A51),"|",COLUMN(II_06H02!A51),",0",",0")</f>
        <v>671650,51|1,0,0</v>
      </c>
      <c r="B41" t="str">
        <f>CONCATENATE(671680,",",ROW(II_06H02!B51),"|",COLUMN(II_06H02!B51),",0",",0")</f>
        <v>671680,51|2,0,0</v>
      </c>
      <c r="C41" t="str">
        <f>CONCATENATE(671630,",",ROW(II_06H02!C51),"|",COLUMN(II_06H02!C51),",0",",0")</f>
        <v>671630,51|3,0,0</v>
      </c>
      <c r="D41" t="str">
        <f>CONCATENATE(671760,",",ROW(II_06H02!D51),"|",COLUMN(II_06H02!D51),",0",",0")</f>
        <v>671760,51|4,0,0</v>
      </c>
      <c r="E41" t="str">
        <f>CONCATENATE(671864,",",ROW(II_06H02!E51),"|",COLUMN(II_06H02!E51),",0",",0")</f>
        <v>671864,51|5,0,0</v>
      </c>
    </row>
    <row r="42" spans="1:5" x14ac:dyDescent="0.25">
      <c r="A42" t="str">
        <f>CONCATENATE(671872,",",ROW(II_06H02!A52),"|",COLUMN(II_06H02!A52),",0",",0")</f>
        <v>671872,52|1,0,0</v>
      </c>
      <c r="B42" t="str">
        <f>CONCATENATE(671774,",",ROW(II_06H02!B52),"|",COLUMN(II_06H02!B52),",0",",0")</f>
        <v>671774,52|2,0,0</v>
      </c>
      <c r="C42" t="str">
        <f>CONCATENATE(671696,",",ROW(II_06H02!C52),"|",COLUMN(II_06H02!C52),",0",",0")</f>
        <v>671696,52|3,0,0</v>
      </c>
      <c r="D42" t="str">
        <f>CONCATENATE(671643,",",ROW(II_06H02!D52),"|",COLUMN(II_06H02!D52),",0",",0")</f>
        <v>671643,52|4,0,0</v>
      </c>
      <c r="E42" t="str">
        <f>CONCATENATE(671609,",",ROW(II_06H02!E52),"|",COLUMN(II_06H02!E52),",0",",0")</f>
        <v>671609,52|5,0,0</v>
      </c>
    </row>
    <row r="43" spans="1:5" x14ac:dyDescent="0.25">
      <c r="A43" t="str">
        <f>CONCATENATE(671772,",",ROW(II_06H02!A53),"|",COLUMN(II_06H02!A53),",0",",0")</f>
        <v>671772,53|1,0,0</v>
      </c>
      <c r="B43" t="str">
        <f>CONCATENATE(671850,",",ROW(II_06H02!B53),"|",COLUMN(II_06H02!B53),",0",",0")</f>
        <v>671850,53|2,0,0</v>
      </c>
      <c r="C43" t="str">
        <f>CONCATENATE(671697,",",ROW(II_06H02!C53),"|",COLUMN(II_06H02!C53),",0",",0")</f>
        <v>671697,53|3,0,0</v>
      </c>
      <c r="D43" t="str">
        <f>CONCATENATE(671644,",",ROW(II_06H02!D53),"|",COLUMN(II_06H02!D53),",0",",0")</f>
        <v>671644,53|4,0,0</v>
      </c>
      <c r="E43" t="str">
        <f>CONCATENATE(671610,",",ROW(II_06H02!E53),"|",COLUMN(II_06H02!E53),",0",",0")</f>
        <v>671610,53|5,0,0</v>
      </c>
    </row>
    <row r="44" spans="1:5" x14ac:dyDescent="0.25">
      <c r="A44" t="str">
        <f>CONCATENATE(671773,",",ROW(II_06H02!A54),"|",COLUMN(II_06H02!A54),",0",",0")</f>
        <v>671773,54|1,0,0</v>
      </c>
      <c r="B44" t="str">
        <f>CONCATENATE(671893,",",ROW(II_06H02!B54),"|",COLUMN(II_06H02!B54),",0",",0")</f>
        <v>671893,54|2,0,0</v>
      </c>
      <c r="C44" t="str">
        <f>CONCATENATE(671698,",",ROW(II_06H02!C54),"|",COLUMN(II_06H02!C54),",0",",0")</f>
        <v>671698,54|3,0,0</v>
      </c>
      <c r="D44" t="str">
        <f>CONCATENATE(671645,",",ROW(II_06H02!D54),"|",COLUMN(II_06H02!D54),",0",",0")</f>
        <v>671645,54|4,0,0</v>
      </c>
      <c r="E44" t="str">
        <f>CONCATENATE(671611,",",ROW(II_06H02!E54),"|",COLUMN(II_06H02!E54),",0",",0")</f>
        <v>671611,54|5,0,0</v>
      </c>
    </row>
    <row r="45" spans="1:5" x14ac:dyDescent="0.25">
      <c r="A45" t="str">
        <f>CONCATENATE(671651,",",ROW(II_06H02!A55),"|",COLUMN(II_06H02!A55),",0",",0")</f>
        <v>671651,55|1,0,0</v>
      </c>
      <c r="B45" t="str">
        <f>CONCATENATE(671679,",",ROW(II_06H02!B55),"|",COLUMN(II_06H02!B55),",0",",0")</f>
        <v>671679,55|2,0,0</v>
      </c>
      <c r="C45" t="str">
        <f>CONCATENATE(671776,",",ROW(II_06H02!C55),"|",COLUMN(II_06H02!C55),",0",",0")</f>
        <v>671776,55|3,0,0</v>
      </c>
      <c r="D45" t="str">
        <f>CONCATENATE(671739,",",ROW(II_06H02!D55),"|",COLUMN(II_06H02!D55),",0",",0")</f>
        <v>671739,55|4,0,0</v>
      </c>
      <c r="E45" t="str">
        <f>CONCATENATE(671765,",",ROW(II_06H02!E55),"|",COLUMN(II_06H02!E55),",0",",0")</f>
        <v>671765,55|5,0,0</v>
      </c>
    </row>
    <row r="46" spans="1:5" x14ac:dyDescent="0.25">
      <c r="A46" t="str">
        <f>CONCATENATE(671652,",",ROW(II_06H02!A56),"|",COLUMN(II_06H02!A56),",0",",0")</f>
        <v>671652,56|1,0,0</v>
      </c>
      <c r="B46" t="str">
        <f>CONCATENATE(671852,",",ROW(II_06H02!B56),"|",COLUMN(II_06H02!B56),",0",",0")</f>
        <v>671852,56|2,0,0</v>
      </c>
      <c r="C46" t="str">
        <f>CONCATENATE(671777,",",ROW(II_06H02!C56),"|",COLUMN(II_06H02!C56),",0",",0")</f>
        <v>671777,56|3,0,0</v>
      </c>
      <c r="D46" t="str">
        <f>CONCATENATE(671740,",",ROW(II_06H02!D56),"|",COLUMN(II_06H02!D56),",0",",0")</f>
        <v>671740,56|4,0,0</v>
      </c>
      <c r="E46" t="str">
        <f>CONCATENATE(671724,",",ROW(II_06H02!E56),"|",COLUMN(II_06H02!E56),",0",",0")</f>
        <v>671724,56|5,0,0</v>
      </c>
    </row>
    <row r="47" spans="1:5" x14ac:dyDescent="0.25">
      <c r="A47" t="str">
        <f>CONCATENATE(671653,",",ROW(II_06H02!A57),"|",COLUMN(II_06H02!A57),",0",",0")</f>
        <v>671653,57|1,0,0</v>
      </c>
      <c r="B47" t="str">
        <f>CONCATENATE(671830,",",ROW(II_06H02!B57),"|",COLUMN(II_06H02!B57),",0",",0")</f>
        <v>671830,57|2,0,0</v>
      </c>
      <c r="C47" t="str">
        <f>CONCATENATE(671631,",",ROW(II_06H02!C57),"|",COLUMN(II_06H02!C57),",0",",0")</f>
        <v>671631,57|3,0,0</v>
      </c>
      <c r="D47" t="str">
        <f>CONCATENATE(671741,",",ROW(II_06H02!D57),"|",COLUMN(II_06H02!D57),",0",",0")</f>
        <v>671741,57|4,0,0</v>
      </c>
      <c r="E47" t="str">
        <f>CONCATENATE(671712,",",ROW(II_06H02!E57),"|",COLUMN(II_06H02!E57),",0",",0")</f>
        <v>671712,57|5,0,0</v>
      </c>
    </row>
    <row r="48" spans="1:5" x14ac:dyDescent="0.25">
      <c r="A48" t="str">
        <f>CONCATENATE(671654,",",ROW(II_06H02!A58),"|",COLUMN(II_06H02!A58),",0",",0")</f>
        <v>671654,58|1,0,0</v>
      </c>
      <c r="B48" t="str">
        <f>CONCATENATE(671853,",",ROW(II_06H02!B58),"|",COLUMN(II_06H02!B58),",0",",0")</f>
        <v>671853,58|2,0,0</v>
      </c>
      <c r="C48" t="str">
        <f>CONCATENATE(671700,",",ROW(II_06H02!C58),"|",COLUMN(II_06H02!C58),",0",",0")</f>
        <v>671700,58|3,0,0</v>
      </c>
      <c r="D48" t="str">
        <f>CONCATENATE(671742,",",ROW(II_06H02!D58),"|",COLUMN(II_06H02!D58),",0",",0")</f>
        <v>671742,58|4,0,0</v>
      </c>
      <c r="E48" t="str">
        <f>CONCATENATE(671722,",",ROW(II_06H02!E58),"|",COLUMN(II_06H02!E58),",0",",0")</f>
        <v>671722,58|5,0,0</v>
      </c>
    </row>
    <row r="49" spans="1:5" x14ac:dyDescent="0.25">
      <c r="A49" t="str">
        <f>CONCATENATE(671620,",",ROW(II_06H02!A59),"|",COLUMN(II_06H02!A59),",0",",0")</f>
        <v>671620,59|1,0,0</v>
      </c>
      <c r="B49" t="str">
        <f>CONCATENATE(671851,",",ROW(II_06H02!B59),"|",COLUMN(II_06H02!B59),",0",",0")</f>
        <v>671851,59|2,0,0</v>
      </c>
      <c r="C49" t="str">
        <f>CONCATENATE(671621,",",ROW(II_06H02!C59),"|",COLUMN(II_06H02!C59),",0",",0")</f>
        <v>671621,59|3,0,0</v>
      </c>
      <c r="D49" t="str">
        <f>CONCATENATE(671622,",",ROW(II_06H02!D59),"|",COLUMN(II_06H02!D59),",0",",0")</f>
        <v>671622,59|4,0,0</v>
      </c>
      <c r="E49" t="str">
        <f>CONCATENATE(671632,",",ROW(II_06H02!E59),"|",COLUMN(II_06H02!E59),",0",",0")</f>
        <v>671632,59|5,0,0</v>
      </c>
    </row>
    <row r="50" spans="1:5" x14ac:dyDescent="0.25">
      <c r="A50" t="str">
        <f>CONCATENATE(671655,",",ROW(II_06H02!A60),"|",COLUMN(II_06H02!A60),",0",",0")</f>
        <v>671655,60|1,0,0</v>
      </c>
      <c r="B50" t="str">
        <f>CONCATENATE(671793,",",ROW(II_06H02!B60),"|",COLUMN(II_06H02!B60),",0",",0")</f>
        <v>671793,60|2,0,0</v>
      </c>
      <c r="C50" t="str">
        <f>CONCATENATE(671701,",",ROW(II_06H02!C60),"|",COLUMN(II_06H02!C60),",0",",0")</f>
        <v>671701,60|3,0,0</v>
      </c>
      <c r="D50" t="str">
        <f>CONCATENATE(671743,",",ROW(II_06H02!D60),"|",COLUMN(II_06H02!D60),",0",",0")</f>
        <v>671743,60|4,0,0</v>
      </c>
      <c r="E50" t="str">
        <f>CONCATENATE(671613,",",ROW(II_06H02!E60),"|",COLUMN(II_06H02!E60),",0",",0")</f>
        <v>671613,60|5,0,0</v>
      </c>
    </row>
    <row r="51" spans="1:5" x14ac:dyDescent="0.25">
      <c r="A51" t="str">
        <f>CONCATENATE(671633,",",ROW(II_06H02!A61),"|",COLUMN(II_06H02!A61),",0",",0")</f>
        <v>671633,61|1,0,0</v>
      </c>
      <c r="B51" t="str">
        <f>CONCATENATE(671820,",",ROW(II_06H02!B61),"|",COLUMN(II_06H02!B61),",0",",0")</f>
        <v>671820,61|2,0,0</v>
      </c>
      <c r="C51" t="str">
        <f>CONCATENATE(671634,",",ROW(II_06H02!C61),"|",COLUMN(II_06H02!C61),",0",",0")</f>
        <v>671634,61|3,0,0</v>
      </c>
      <c r="D51" t="str">
        <f>CONCATENATE(671635,",",ROW(II_06H02!D61),"|",COLUMN(II_06H02!D61),",0",",0")</f>
        <v>671635,61|4,0,0</v>
      </c>
      <c r="E51" t="str">
        <f>CONCATENATE(671623,",",ROW(II_06H02!E61),"|",COLUMN(II_06H02!E61),",0",",0")</f>
        <v>671623,61|5,0,0</v>
      </c>
    </row>
    <row r="52" spans="1:5" x14ac:dyDescent="0.25">
      <c r="A52" t="str">
        <f>CONCATENATE(671656,",",ROW(II_06H02!A62),"|",COLUMN(II_06H02!A62),",0",",0")</f>
        <v>671656,62|1,0,0</v>
      </c>
      <c r="B52" t="str">
        <f>CONCATENATE(671705,",",ROW(II_06H02!B62),"|",COLUMN(II_06H02!B62),",0",",0")</f>
        <v>671705,62|2,0,0</v>
      </c>
      <c r="C52" t="str">
        <f>CONCATENATE(671624,",",ROW(II_06H02!C62),"|",COLUMN(II_06H02!C62),",0",",0")</f>
        <v>671624,62|3,0,0</v>
      </c>
      <c r="D52" t="str">
        <f>CONCATENATE(671744,",",ROW(II_06H02!D62),"|",COLUMN(II_06H02!D62),",0",",0")</f>
        <v>671744,62|4,0,0</v>
      </c>
      <c r="E52" t="str">
        <f>CONCATENATE(671683,",",ROW(II_06H02!E62),"|",COLUMN(II_06H02!E62),",0",",0")</f>
        <v>671683,62|5,0,0</v>
      </c>
    </row>
    <row r="53" spans="1:5" x14ac:dyDescent="0.25">
      <c r="A53" t="str">
        <f>CONCATENATE(671658,",",ROW(II_06H02!A63),"|",COLUMN(II_06H02!A63),",0",",0")</f>
        <v>671658,63|1,0,0</v>
      </c>
      <c r="B53" t="str">
        <f>CONCATENATE(671794,",",ROW(II_06H02!B63),"|",COLUMN(II_06H02!B63),",0",",0")</f>
        <v>671794,63|2,0,0</v>
      </c>
      <c r="C53" t="str">
        <f>CONCATENATE(671702,",",ROW(II_06H02!C63),"|",COLUMN(II_06H02!C63),",0",",0")</f>
        <v>671702,63|3,0,0</v>
      </c>
      <c r="D53" t="str">
        <f>CONCATENATE(671745,",",ROW(II_06H02!D63),"|",COLUMN(II_06H02!D63),",0",",0")</f>
        <v>671745,63|4,0,0</v>
      </c>
      <c r="E53" t="str">
        <f>CONCATENATE(671685,",",ROW(II_06H02!E63),"|",COLUMN(II_06H02!E63),",0",",0")</f>
        <v>671685,63|5,0,0</v>
      </c>
    </row>
    <row r="54" spans="1:5" x14ac:dyDescent="0.25">
      <c r="A54" t="str">
        <f>CONCATENATE(671659,",",ROW(II_06H02!A64),"|",COLUMN(II_06H02!A64),",0",",0")</f>
        <v>671659,64|1,0,0</v>
      </c>
      <c r="B54" t="str">
        <f>CONCATENATE(671795,",",ROW(II_06H02!B64),"|",COLUMN(II_06H02!B64),",0",",0")</f>
        <v>671795,64|2,0,0</v>
      </c>
      <c r="C54" t="str">
        <f>CONCATENATE(671703,",",ROW(II_06H02!C64),"|",COLUMN(II_06H02!C64),",0",",0")</f>
        <v>671703,64|3,0,0</v>
      </c>
      <c r="D54" t="str">
        <f>CONCATENATE(671746,",",ROW(II_06H02!D64),"|",COLUMN(II_06H02!D64),",0",",0")</f>
        <v>671746,64|4,0,0</v>
      </c>
      <c r="E54" t="str">
        <f>CONCATENATE(671686,",",ROW(II_06H02!E64),"|",COLUMN(II_06H02!E64),",0",",0")</f>
        <v>671686,64|5,0,0</v>
      </c>
    </row>
    <row r="55" spans="1:5" x14ac:dyDescent="0.25">
      <c r="A55" t="str">
        <f>CONCATENATE(671671,",",ROW(II_06H02!A65),"|",COLUMN(II_06H02!A65),",0",",0")</f>
        <v>671671,65|1,0,0</v>
      </c>
      <c r="B55" t="str">
        <f>CONCATENATE(671796,",",ROW(II_06H02!B65),"|",COLUMN(II_06H02!B65),",0",",0")</f>
        <v>671796,65|2,0,0</v>
      </c>
      <c r="C55" t="str">
        <f>CONCATENATE(671704,",",ROW(II_06H02!C65),"|",COLUMN(II_06H02!C65),",0",",0")</f>
        <v>671704,65|3,0,0</v>
      </c>
      <c r="D55" t="str">
        <f>CONCATENATE(671747,",",ROW(II_06H02!D65),"|",COLUMN(II_06H02!D65),",0",",0")</f>
        <v>671747,65|4,0,0</v>
      </c>
      <c r="E55" t="str">
        <f>CONCATENATE(671687,",",ROW(II_06H02!E65),"|",COLUMN(II_06H02!E65),",0",",0")</f>
        <v>671687,65|5,0,0</v>
      </c>
    </row>
    <row r="56" spans="1:5" x14ac:dyDescent="0.25">
      <c r="A56" t="str">
        <f>CONCATENATE(671672,",",ROW(II_06H02!A66),"|",COLUMN(II_06H02!A66),",0",",0")</f>
        <v>671672,66|1,0,0</v>
      </c>
      <c r="B56" t="str">
        <f>CONCATENATE(671706,",",ROW(II_06H02!B66),"|",COLUMN(II_06H02!B66),",0",",0")</f>
        <v>671706,66|2,0,0</v>
      </c>
      <c r="C56" t="str">
        <f>CONCATENATE(671637,",",ROW(II_06H02!C66),"|",COLUMN(II_06H02!C66),",0",",0")</f>
        <v>671637,66|3,0,0</v>
      </c>
      <c r="D56" t="str">
        <f>CONCATENATE(671748,",",ROW(II_06H02!D66),"|",COLUMN(II_06H02!D66),",0",",0")</f>
        <v>671748,66|4,0,0</v>
      </c>
      <c r="E56" t="str">
        <f>CONCATENATE(671684,",",ROW(II_06H02!E66),"|",COLUMN(II_06H02!E66),",0",",0")</f>
        <v>671684,66|5,0,0</v>
      </c>
    </row>
    <row r="57" spans="1:5" x14ac:dyDescent="0.25">
      <c r="A57" t="str">
        <f>CONCATENATE(671895,",",ROW(II_06H02!A67),"|",COLUMN(II_06H02!A67),",0",",0")</f>
        <v>671895,67|1,0,0</v>
      </c>
      <c r="B57" t="str">
        <f>CONCATENATE(671896,",",ROW(II_06H02!B67),"|",COLUMN(II_06H02!B67),",0",",0")</f>
        <v>671896,67|2,0,0</v>
      </c>
      <c r="C57" t="str">
        <f>CONCATENATE(671638,",",ROW(II_06H02!C67),"|",COLUMN(II_06H02!C67),",0",",0")</f>
        <v>671638,67|3,0,0</v>
      </c>
      <c r="D57" t="str">
        <f>CONCATENATE(671904,",",ROW(II_06H02!D67),"|",COLUMN(II_06H02!D67),",0",",0")</f>
        <v>671904,67|4,0,0</v>
      </c>
      <c r="E57" t="str">
        <f>CONCATENATE(671689,",",ROW(II_06H02!E67),"|",COLUMN(II_06H02!E67),",0",",0")</f>
        <v>671689,67|5,0,0</v>
      </c>
    </row>
    <row r="58" spans="1:5" x14ac:dyDescent="0.25">
      <c r="A58" t="str">
        <f>CONCATENATE(671657,",",ROW(II_06H02!A68),"|",COLUMN(II_06H02!A68),",0",",0")</f>
        <v>671657,68|1,0,0</v>
      </c>
      <c r="B58" t="str">
        <f>CONCATENATE(671681,",",ROW(II_06H02!B68),"|",COLUMN(II_06H02!B68),",0",",0")</f>
        <v>671681,68|2,0,0</v>
      </c>
      <c r="C58" t="str">
        <f>CONCATENATE(671639,",",ROW(II_06H02!C68),"|",COLUMN(II_06H02!C68),",0",",0")</f>
        <v>671639,68|3,0,0</v>
      </c>
      <c r="D58" t="str">
        <f>CONCATENATE(671754,",",ROW(II_06H02!D68),"|",COLUMN(II_06H02!D68),",0",",0")</f>
        <v>671754,68|4,0,0</v>
      </c>
      <c r="E58" t="str">
        <f>CONCATENATE(671688,",",ROW(II_06H02!E68),"|",COLUMN(II_06H02!E68),",0",",0")</f>
        <v>671688,68|5,0,0</v>
      </c>
    </row>
    <row r="59" spans="1:5" x14ac:dyDescent="0.25">
      <c r="A59" t="str">
        <f>CONCATENATE(671673,",",ROW(II_06H02!A69),"|",COLUMN(II_06H02!A69),",0",",0")</f>
        <v>671673,69|1,0,0</v>
      </c>
      <c r="B59" t="str">
        <f>CONCATENATE(671707,",",ROW(II_06H02!B69),"|",COLUMN(II_06H02!B69),",0",",0")</f>
        <v>671707,69|2,0,0</v>
      </c>
      <c r="C59" t="str">
        <f>CONCATENATE(671626,",",ROW(II_06H02!C69),"|",COLUMN(II_06H02!C69),",0",",0")</f>
        <v>671626,69|3,0,0</v>
      </c>
      <c r="D59" t="str">
        <f>CONCATENATE(671749,",",ROW(II_06H02!D69),"|",COLUMN(II_06H02!D69),",0",",0")</f>
        <v>671749,69|4,0,0</v>
      </c>
      <c r="E59" t="str">
        <f>CONCATENATE(671614,",",ROW(II_06H02!E69),"|",COLUMN(II_06H02!E69),",0",",0")</f>
        <v>671614,69|5,0,0</v>
      </c>
    </row>
    <row r="60" spans="1:5" x14ac:dyDescent="0.25">
      <c r="A60" t="str">
        <f>CONCATENATE(671625,",",ROW(II_06H02!A70),"|",COLUMN(II_06H02!A70),",0",",0")</f>
        <v>671625,70|1,0,0</v>
      </c>
      <c r="B60" t="str">
        <f>CONCATENATE(671819,",",ROW(II_06H02!B70),"|",COLUMN(II_06H02!B70),",0",",0")</f>
        <v>671819,70|2,0,0</v>
      </c>
      <c r="C60" t="str">
        <f>CONCATENATE(671627,",",ROW(II_06H02!C70),"|",COLUMN(II_06H02!C70),",0",",0")</f>
        <v>671627,70|3,0,0</v>
      </c>
      <c r="D60" t="str">
        <f>CONCATENATE(671615,",",ROW(II_06H02!D70),"|",COLUMN(II_06H02!D70),",0",",0")</f>
        <v>671615,70|4,0,0</v>
      </c>
      <c r="E60" t="str">
        <f>CONCATENATE(671642,",",ROW(II_06H02!E70),"|",COLUMN(II_06H02!E70),",0",",0")</f>
        <v>671642,70|5,0,0</v>
      </c>
    </row>
    <row r="61" spans="1:5" x14ac:dyDescent="0.25">
      <c r="A61" t="str">
        <f>CONCATENATE(671821,",",ROW(II_06H02!A71),"|",COLUMN(II_06H02!A71),",0",",0")</f>
        <v>671821,71|1,0,0</v>
      </c>
      <c r="B61" t="str">
        <f>CONCATENATE(671708,",",ROW(II_06H02!B71),"|",COLUMN(II_06H02!B71),",0",",0")</f>
        <v>671708,71|2,0,0</v>
      </c>
      <c r="C61" t="str">
        <f>CONCATENATE(671731,",",ROW(II_06H02!C71),"|",COLUMN(II_06H02!C71),",0",",0")</f>
        <v>671731,71|3,0,0</v>
      </c>
      <c r="D61" t="str">
        <f>CONCATENATE(671750,",",ROW(II_06H02!D71),"|",COLUMN(II_06H02!D71),",0",",0")</f>
        <v>671750,71|4,0,0</v>
      </c>
      <c r="E61" t="str">
        <f>CONCATENATE(671690,",",ROW(II_06H02!E71),"|",COLUMN(II_06H02!E71),",0",",0")</f>
        <v>671690,71|5,0,0</v>
      </c>
    </row>
    <row r="62" spans="1:5" x14ac:dyDescent="0.25">
      <c r="A62" t="str">
        <f>CONCATENATE(671822,",",ROW(II_06H02!A72),"|",COLUMN(II_06H02!A72),",0",",0")</f>
        <v>671822,72|1,0,0</v>
      </c>
      <c r="B62" t="str">
        <f>CONCATENATE(671649,",",ROW(II_06H02!B72),"|",COLUMN(II_06H02!B72),",0",",0")</f>
        <v>671649,72|2,0,0</v>
      </c>
      <c r="C62" t="str">
        <f>CONCATENATE(671732,",",ROW(II_06H02!C72),"|",COLUMN(II_06H02!C72),",0",",0")</f>
        <v>671732,72|3,0,0</v>
      </c>
      <c r="D62" t="str">
        <f>CONCATENATE(671751,",",ROW(II_06H02!D72),"|",COLUMN(II_06H02!D72),",0",",0")</f>
        <v>671751,72|4,0,0</v>
      </c>
      <c r="E62" t="str">
        <f>CONCATENATE(671612,",",ROW(II_06H02!E72),"|",COLUMN(II_06H02!E72),",0",",0")</f>
        <v>671612,72|5,0,0</v>
      </c>
    </row>
    <row r="63" spans="1:5" x14ac:dyDescent="0.25">
      <c r="A63" t="str">
        <f>CONCATENATE(671823,",",ROW(II_06H02!A73),"|",COLUMN(II_06H02!A73),",1",",0")</f>
        <v>671823,73|1,1,0</v>
      </c>
      <c r="B63" t="str">
        <f>CONCATENATE(671798,",",ROW(II_06H02!B73),"|",COLUMN(II_06H02!B73),",1",",0")</f>
        <v>671798,73|2,1,0</v>
      </c>
      <c r="C63" t="str">
        <f>CONCATENATE(671733,",",ROW(II_06H02!C73),"|",COLUMN(II_06H02!C73),",1",",0")</f>
        <v>671733,73|3,1,0</v>
      </c>
      <c r="D63" t="str">
        <f>CONCATENATE(671752,",",ROW(II_06H02!D73),"|",COLUMN(II_06H02!D73),",1",",0")</f>
        <v>671752,73|4,1,0</v>
      </c>
      <c r="E63" t="str">
        <f>CONCATENATE(671691,",",ROW(II_06H02!E73),"|",COLUMN(II_06H02!E73),",1",",0")</f>
        <v>671691,73|5,1,0</v>
      </c>
    </row>
    <row r="64" spans="1:5" x14ac:dyDescent="0.25">
      <c r="A64" t="str">
        <f>CONCATENATE(671668,",",ROW(II_06H02!A77),"|",COLUMN(II_06H02!A77),",0",",0")</f>
        <v>671668,77|1,0,0</v>
      </c>
      <c r="B64" t="str">
        <f>CONCATENATE(671682,",",ROW(II_06H02!B77),"|",COLUMN(II_06H02!B77),",0",",0")</f>
        <v>671682,77|2,0,0</v>
      </c>
      <c r="C64" t="str">
        <f>CONCATENATE(671640,",",ROW(II_06H02!C77),"|",COLUMN(II_06H02!C77),",0",",0")</f>
        <v>671640,77|3,0,0</v>
      </c>
      <c r="D64" t="str">
        <f>CONCATENATE(671641,",",ROW(II_06H02!D77),"|",COLUMN(II_06H02!D77),",0",",0")</f>
        <v>671641,77|4,0,0</v>
      </c>
      <c r="E64" t="str">
        <f>CONCATENATE(671692,",",ROW(II_06H02!E77),"|",COLUMN(II_06H02!E77),",0",",0")</f>
        <v>671692,77|5,0,0</v>
      </c>
    </row>
  </sheetData>
  <sheetProtection password="CB7D"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4" sqref="C4:C8"/>
    </sheetView>
  </sheetViews>
  <sheetFormatPr defaultRowHeight="15" x14ac:dyDescent="0.25"/>
  <cols>
    <col min="1" max="1" width="16.28515625" bestFit="1" customWidth="1"/>
    <col min="2" max="2" width="31.28515625" bestFit="1" customWidth="1"/>
    <col min="3" max="3" width="21.85546875" bestFit="1" customWidth="1"/>
  </cols>
  <sheetData>
    <row r="1" spans="1:3" ht="20.25" x14ac:dyDescent="0.3">
      <c r="A1" s="1101" t="s">
        <v>12</v>
      </c>
      <c r="B1" s="1101" t="s">
        <v>5</v>
      </c>
      <c r="C1" s="1101" t="s">
        <v>5</v>
      </c>
    </row>
    <row r="2" spans="1:3" ht="18.75" x14ac:dyDescent="0.3">
      <c r="A2" s="1102" t="s">
        <v>37</v>
      </c>
      <c r="B2" s="1102" t="s">
        <v>5</v>
      </c>
      <c r="C2" s="1102" t="s">
        <v>5</v>
      </c>
    </row>
    <row r="3" spans="1:3" ht="18.75" x14ac:dyDescent="0.25">
      <c r="A3" s="415" t="s">
        <v>0</v>
      </c>
      <c r="B3" s="415" t="s">
        <v>285</v>
      </c>
      <c r="C3" s="415" t="s">
        <v>180</v>
      </c>
    </row>
    <row r="4" spans="1:3" ht="49.5" x14ac:dyDescent="0.25">
      <c r="A4" s="421" t="s">
        <v>82</v>
      </c>
      <c r="B4" s="417" t="s">
        <v>286</v>
      </c>
      <c r="C4" s="1025">
        <v>80351713949.481918</v>
      </c>
    </row>
    <row r="5" spans="1:3" ht="33" x14ac:dyDescent="0.25">
      <c r="A5" s="422" t="s">
        <v>62</v>
      </c>
      <c r="B5" s="420" t="s">
        <v>289</v>
      </c>
      <c r="C5" s="1026">
        <v>4137288301</v>
      </c>
    </row>
    <row r="6" spans="1:3" ht="33" x14ac:dyDescent="0.25">
      <c r="A6" s="425" t="s">
        <v>46</v>
      </c>
      <c r="B6" s="424" t="s">
        <v>290</v>
      </c>
      <c r="C6" s="1027">
        <v>0</v>
      </c>
    </row>
    <row r="7" spans="1:3" ht="33" x14ac:dyDescent="0.25">
      <c r="A7" s="423" t="s">
        <v>51</v>
      </c>
      <c r="B7" s="418" t="s">
        <v>287</v>
      </c>
      <c r="C7" s="1028">
        <v>2505312465</v>
      </c>
    </row>
    <row r="8" spans="1:3" ht="49.5" x14ac:dyDescent="0.25">
      <c r="A8" s="416" t="s">
        <v>52</v>
      </c>
      <c r="B8" s="419" t="s">
        <v>288</v>
      </c>
      <c r="C8" s="1029">
        <v>86994314715.481918</v>
      </c>
    </row>
  </sheetData>
  <mergeCells count="2">
    <mergeCell ref="A1:C1"/>
    <mergeCell ref="A2:C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8"/>
  <sheetViews>
    <sheetView workbookViewId="0"/>
  </sheetViews>
  <sheetFormatPr defaultRowHeight="15" x14ac:dyDescent="0.25"/>
  <cols>
    <col min="1" max="1" width="1" style="426" bestFit="1" customWidth="1"/>
    <col min="2" max="3" width="1" bestFit="1" customWidth="1"/>
  </cols>
  <sheetData>
    <row r="4" spans="1:3" x14ac:dyDescent="0.25">
      <c r="A4" t="str">
        <f>CONCATENATE(671592,",",ROW(III_06H03!A4),"|",COLUMN(III_06H03!A4),",0",",0")</f>
        <v>671592,4|1,0,0</v>
      </c>
      <c r="B4" t="str">
        <f>CONCATENATE(671588,",",ROW(III_06H03!B4),"|",COLUMN(III_06H03!B4),",0",",0")</f>
        <v>671588,4|2,0,0</v>
      </c>
      <c r="C4" t="str">
        <f>CONCATENATE(671584,",",ROW(III_06H03!C4),"|",COLUMN(III_06H03!C4),",0",",0")</f>
        <v>671584,4|3,0,0</v>
      </c>
    </row>
    <row r="5" spans="1:3" x14ac:dyDescent="0.25">
      <c r="A5" t="str">
        <f>CONCATENATE(671593,",",ROW(III_06H03!A5),"|",COLUMN(III_06H03!A5),",0",",0")</f>
        <v>671593,5|1,0,0</v>
      </c>
      <c r="B5" t="str">
        <f>CONCATENATE(671591,",",ROW(III_06H03!B5),"|",COLUMN(III_06H03!B5),",0",",0")</f>
        <v>671591,5|2,0,0</v>
      </c>
      <c r="C5" t="str">
        <f>CONCATENATE(671587,",",ROW(III_06H03!C5),"|",COLUMN(III_06H03!C5),",0",",0")</f>
        <v>671587,5|3,0,0</v>
      </c>
    </row>
    <row r="6" spans="1:3" x14ac:dyDescent="0.25">
      <c r="A6" t="str">
        <f>CONCATENATE(671596,",",ROW(III_06H03!A6),"|",COLUMN(III_06H03!A6),",0",",0")</f>
        <v>671596,6|1,0,0</v>
      </c>
      <c r="B6" t="str">
        <f>CONCATENATE(671595,",",ROW(III_06H03!B6),"|",COLUMN(III_06H03!B6),",0",",0")</f>
        <v>671595,6|2,0,0</v>
      </c>
      <c r="C6" t="str">
        <f>CONCATENATE(671582,",",ROW(III_06H03!C6),"|",COLUMN(III_06H03!C6),",0",",0")</f>
        <v>671582,6|3,0,0</v>
      </c>
    </row>
    <row r="7" spans="1:3" x14ac:dyDescent="0.25">
      <c r="A7" t="str">
        <f>CONCATENATE(671594,",",ROW(III_06H03!A7),"|",COLUMN(III_06H03!A7),",0",",0")</f>
        <v>671594,7|1,0,0</v>
      </c>
      <c r="B7" t="str">
        <f>CONCATENATE(671589,",",ROW(III_06H03!B7),"|",COLUMN(III_06H03!B7),",0",",0")</f>
        <v>671589,7|2,0,0</v>
      </c>
      <c r="C7" t="str">
        <f>CONCATENATE(671585,",",ROW(III_06H03!C7),"|",COLUMN(III_06H03!C7),",0",",0")</f>
        <v>671585,7|3,0,0</v>
      </c>
    </row>
    <row r="8" spans="1:3" x14ac:dyDescent="0.25">
      <c r="A8" t="str">
        <f>CONCATENATE(671583,",",ROW(III_06H03!A8),"|",COLUMN(III_06H03!A8),",0",",0")</f>
        <v>671583,8|1,0,0</v>
      </c>
      <c r="B8" t="str">
        <f>CONCATENATE(671590,",",ROW(III_06H03!B8),"|",COLUMN(III_06H03!B8),",0",",0")</f>
        <v>671590,8|2,0,0</v>
      </c>
      <c r="C8" t="str">
        <f>CONCATENATE(671586,",",ROW(III_06H03!C8),"|",COLUMN(III_06H03!C8),",0",",0")</f>
        <v>671586,8|3,0,0</v>
      </c>
    </row>
  </sheetData>
  <sheetProtection password="CB7D"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workbookViewId="0">
      <selection activeCell="I10" sqref="I10"/>
    </sheetView>
  </sheetViews>
  <sheetFormatPr defaultRowHeight="15" x14ac:dyDescent="0.25"/>
  <cols>
    <col min="1" max="1" width="10.7109375" bestFit="1" customWidth="1"/>
    <col min="2" max="2" width="31.28515625" bestFit="1" customWidth="1"/>
    <col min="3" max="6" width="10.7109375" bestFit="1" customWidth="1"/>
    <col min="7" max="7" width="21.85546875" bestFit="1" customWidth="1"/>
    <col min="8" max="8" width="18.5703125" bestFit="1" customWidth="1"/>
    <col min="9" max="9" width="23.140625" bestFit="1" customWidth="1"/>
  </cols>
  <sheetData>
    <row r="1" spans="1:9" ht="20.25" x14ac:dyDescent="0.3">
      <c r="A1" s="1105" t="s">
        <v>14</v>
      </c>
      <c r="B1" s="1105" t="s">
        <v>5</v>
      </c>
      <c r="C1" s="1105" t="s">
        <v>5</v>
      </c>
      <c r="D1" s="1105" t="s">
        <v>5</v>
      </c>
      <c r="E1" s="1105" t="s">
        <v>5</v>
      </c>
      <c r="F1" s="1105" t="s">
        <v>5</v>
      </c>
      <c r="G1" s="1105" t="s">
        <v>5</v>
      </c>
      <c r="H1" s="1105" t="s">
        <v>5</v>
      </c>
      <c r="I1" s="1105" t="s">
        <v>5</v>
      </c>
    </row>
    <row r="2" spans="1:9" ht="18.75" x14ac:dyDescent="0.3">
      <c r="A2" s="1106" t="s">
        <v>37</v>
      </c>
      <c r="B2" s="1107" t="s">
        <v>5</v>
      </c>
      <c r="C2" s="1107" t="s">
        <v>5</v>
      </c>
      <c r="D2" s="1107" t="s">
        <v>5</v>
      </c>
      <c r="E2" s="1107" t="s">
        <v>5</v>
      </c>
      <c r="F2" s="1107" t="s">
        <v>5</v>
      </c>
      <c r="G2" s="1107" t="s">
        <v>5</v>
      </c>
      <c r="H2" s="1107" t="s">
        <v>5</v>
      </c>
      <c r="I2" s="1107" t="s">
        <v>5</v>
      </c>
    </row>
    <row r="3" spans="1:9" x14ac:dyDescent="0.25">
      <c r="A3" s="1103" t="s">
        <v>0</v>
      </c>
      <c r="B3" s="1103" t="s">
        <v>299</v>
      </c>
      <c r="C3" s="1103" t="s">
        <v>297</v>
      </c>
      <c r="D3" s="1104" t="s">
        <v>5</v>
      </c>
      <c r="E3" s="1104" t="s">
        <v>5</v>
      </c>
      <c r="F3" s="1104" t="s">
        <v>5</v>
      </c>
      <c r="G3" s="1104" t="s">
        <v>5</v>
      </c>
      <c r="H3" s="1104" t="s">
        <v>5</v>
      </c>
      <c r="I3" s="1103" t="s">
        <v>298</v>
      </c>
    </row>
    <row r="4" spans="1:9" ht="37.5" x14ac:dyDescent="0.25">
      <c r="A4" s="1104" t="s">
        <v>5</v>
      </c>
      <c r="B4" s="1104" t="s">
        <v>5</v>
      </c>
      <c r="C4" s="427" t="s">
        <v>294</v>
      </c>
      <c r="D4" s="427" t="s">
        <v>291</v>
      </c>
      <c r="E4" s="427" t="s">
        <v>292</v>
      </c>
      <c r="F4" s="427" t="s">
        <v>296</v>
      </c>
      <c r="G4" s="427" t="s">
        <v>295</v>
      </c>
      <c r="H4" s="427" t="s">
        <v>293</v>
      </c>
      <c r="I4" s="1104" t="s">
        <v>5</v>
      </c>
    </row>
    <row r="5" spans="1:9" ht="115.5" x14ac:dyDescent="0.25">
      <c r="A5" s="451" t="s">
        <v>82</v>
      </c>
      <c r="B5" s="457" t="s">
        <v>301</v>
      </c>
      <c r="C5" s="436" t="s">
        <v>5</v>
      </c>
      <c r="D5" s="448" t="s">
        <v>5</v>
      </c>
      <c r="E5" s="442" t="s">
        <v>5</v>
      </c>
      <c r="F5" s="431" t="s">
        <v>5</v>
      </c>
      <c r="G5" s="1030">
        <v>79756647319.481918</v>
      </c>
      <c r="H5" s="1031">
        <v>595066630</v>
      </c>
      <c r="I5" s="1032">
        <v>80351713949.481918</v>
      </c>
    </row>
    <row r="6" spans="1:9" ht="66" x14ac:dyDescent="0.25">
      <c r="A6" s="452" t="s">
        <v>62</v>
      </c>
      <c r="B6" s="458" t="s">
        <v>302</v>
      </c>
      <c r="C6" s="433" t="s">
        <v>5</v>
      </c>
      <c r="D6" s="444" t="s">
        <v>5</v>
      </c>
      <c r="E6" s="438" t="s">
        <v>5</v>
      </c>
      <c r="F6" s="462" t="s">
        <v>5</v>
      </c>
      <c r="G6" s="1033" t="s">
        <v>5</v>
      </c>
      <c r="H6" s="1034" t="s">
        <v>5</v>
      </c>
      <c r="I6" s="1035" t="s">
        <v>5</v>
      </c>
    </row>
    <row r="7" spans="1:9" ht="82.5" x14ac:dyDescent="0.25">
      <c r="A7" s="453" t="s">
        <v>46</v>
      </c>
      <c r="B7" s="450" t="s">
        <v>300</v>
      </c>
      <c r="C7" s="434" t="s">
        <v>5</v>
      </c>
      <c r="D7" s="445" t="s">
        <v>5</v>
      </c>
      <c r="E7" s="439" t="s">
        <v>5</v>
      </c>
      <c r="F7" s="463" t="s">
        <v>5</v>
      </c>
      <c r="G7" s="1036" t="s">
        <v>5</v>
      </c>
      <c r="H7" s="1037" t="s">
        <v>5</v>
      </c>
      <c r="I7" s="1038" t="s">
        <v>5</v>
      </c>
    </row>
    <row r="8" spans="1:9" ht="82.5" x14ac:dyDescent="0.25">
      <c r="A8" s="454" t="s">
        <v>51</v>
      </c>
      <c r="B8" s="459" t="s">
        <v>303</v>
      </c>
      <c r="C8" s="428" t="s">
        <v>5</v>
      </c>
      <c r="D8" s="446" t="s">
        <v>5</v>
      </c>
      <c r="E8" s="440" t="s">
        <v>5</v>
      </c>
      <c r="F8" s="429" t="s">
        <v>5</v>
      </c>
      <c r="G8" s="1039" t="s">
        <v>5</v>
      </c>
      <c r="H8" s="1040" t="s">
        <v>5</v>
      </c>
      <c r="I8" s="1041" t="s">
        <v>5</v>
      </c>
    </row>
    <row r="9" spans="1:9" ht="82.5" x14ac:dyDescent="0.25">
      <c r="A9" s="455" t="s">
        <v>52</v>
      </c>
      <c r="B9" s="460" t="s">
        <v>304</v>
      </c>
      <c r="C9" s="435" t="s">
        <v>5</v>
      </c>
      <c r="D9" s="447" t="s">
        <v>5</v>
      </c>
      <c r="E9" s="441" t="s">
        <v>5</v>
      </c>
      <c r="F9" s="430" t="s">
        <v>5</v>
      </c>
      <c r="G9" s="1042" t="s">
        <v>5</v>
      </c>
      <c r="H9" s="1043" t="s">
        <v>5</v>
      </c>
      <c r="I9" s="1044" t="s">
        <v>5</v>
      </c>
    </row>
    <row r="10" spans="1:9" ht="49.5" x14ac:dyDescent="0.25">
      <c r="A10" s="456"/>
      <c r="B10" s="461" t="s">
        <v>305</v>
      </c>
      <c r="C10" s="437" t="s">
        <v>5</v>
      </c>
      <c r="D10" s="449" t="s">
        <v>5</v>
      </c>
      <c r="E10" s="443" t="s">
        <v>5</v>
      </c>
      <c r="F10" s="432" t="s">
        <v>5</v>
      </c>
      <c r="G10" s="1045" t="s">
        <v>5</v>
      </c>
      <c r="H10" s="1046" t="s">
        <v>5</v>
      </c>
      <c r="I10" s="1047">
        <v>80351713949.481918</v>
      </c>
    </row>
  </sheetData>
  <mergeCells count="6">
    <mergeCell ref="A3:A4"/>
    <mergeCell ref="C3:H3"/>
    <mergeCell ref="I3:I4"/>
    <mergeCell ref="B3:B4"/>
    <mergeCell ref="A1:I1"/>
    <mergeCell ref="A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Trang bìa</vt:lpstr>
      <vt:lpstr>Setting</vt:lpstr>
      <vt:lpstr>I_06H01</vt:lpstr>
      <vt:lpstr>8761_hidden</vt:lpstr>
      <vt:lpstr>II_06H02</vt:lpstr>
      <vt:lpstr>8767_hidden</vt:lpstr>
      <vt:lpstr>III_06H03</vt:lpstr>
      <vt:lpstr>8764_hidden</vt:lpstr>
      <vt:lpstr>IV_06H04</vt:lpstr>
      <vt:lpstr>8768_hidden</vt:lpstr>
      <vt:lpstr>V_06H05</vt:lpstr>
      <vt:lpstr>8769_hidden</vt:lpstr>
      <vt:lpstr>X_06H09</vt:lpstr>
      <vt:lpstr>8763_hidden</vt:lpstr>
      <vt:lpstr>VI_06H06</vt:lpstr>
      <vt:lpstr>8766_hidden</vt:lpstr>
      <vt:lpstr>VII_06H07</vt:lpstr>
      <vt:lpstr>8770_hidden</vt:lpstr>
      <vt:lpstr>VIII_06H08</vt:lpstr>
      <vt:lpstr>8762_hidden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Ngô Thị Quỳnh Liên</dc:creator>
  <cp:lastModifiedBy>ABS-KT-PHUONGTTT</cp:lastModifiedBy>
  <dcterms:created xsi:type="dcterms:W3CDTF">2020-06-04T03:29:47Z</dcterms:created>
  <dcterms:modified xsi:type="dcterms:W3CDTF">2026-08-14T12:51:15Z</dcterms:modified>
</cp:coreProperties>
</file>